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externalLinks/externalLink45.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360" yWindow="135" windowWidth="8415" windowHeight="5475" tabRatio="945" firstSheet="2" activeTab="18"/>
  </bookViews>
  <sheets>
    <sheet name="PLS" sheetId="57" state="hidden" r:id="rId1"/>
    <sheet name="P&amp;L (2)" sheetId="33" state="hidden" r:id="rId2"/>
    <sheet name="Title IPF " sheetId="3" r:id="rId3"/>
    <sheet name="BS" sheetId="4" r:id="rId4"/>
    <sheet name="P&amp;L" sheetId="5" r:id="rId5"/>
    <sheet name="Qtr - PnL" sheetId="6" state="hidden" r:id="rId6"/>
    <sheet name="Other Comp Income" sheetId="7" r:id="rId7"/>
    <sheet name="Qtr Other Comp Income" sheetId="8" state="hidden" r:id="rId8"/>
    <sheet name="Qtr Distribution" sheetId="10" state="hidden" r:id="rId9"/>
    <sheet name="UHF" sheetId="11" r:id="rId10"/>
    <sheet name="Qtr - UHF" sheetId="12" state="hidden" r:id="rId11"/>
    <sheet name="cash flow" sheetId="13" r:id="rId12"/>
    <sheet name="Qtr -cashflow" sheetId="14" state="hidden" r:id="rId13"/>
    <sheet name="RP Q working" sheetId="15" state="hidden" r:id="rId14"/>
    <sheet name="cash flow working" sheetId="27" state="hidden" r:id="rId15"/>
    <sheet name="1" sheetId="16" r:id="rId16"/>
    <sheet name="P" sheetId="80" r:id="rId17"/>
    <sheet name="2" sheetId="17" r:id="rId18"/>
    <sheet name="3" sheetId="4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A" localSheetId="15">'[1]last qrt2001'!#REF!</definedName>
    <definedName name="\A" localSheetId="18">'[1]last qrt2001'!#REF!</definedName>
    <definedName name="\A" localSheetId="1">'[1]last qrt2001'!#REF!</definedName>
    <definedName name="\A" localSheetId="0">'[1]last qrt2001'!#REF!</definedName>
    <definedName name="\a" localSheetId="13">#REF!</definedName>
    <definedName name="\A">'[1]last qrt2001'!#REF!</definedName>
    <definedName name="\B" localSheetId="15">'[1]last qrt2001'!#REF!</definedName>
    <definedName name="\B" localSheetId="18">'[1]last qrt2001'!#REF!</definedName>
    <definedName name="\B" localSheetId="1">'[1]last qrt2001'!#REF!</definedName>
    <definedName name="\B" localSheetId="0">'[1]last qrt2001'!#REF!</definedName>
    <definedName name="\b" localSheetId="13">#REF!</definedName>
    <definedName name="\B">'[1]last qrt2001'!#REF!</definedName>
    <definedName name="\c" localSheetId="15">#REF!</definedName>
    <definedName name="\c" localSheetId="18">#REF!</definedName>
    <definedName name="\c" localSheetId="1">#REF!</definedName>
    <definedName name="\c" localSheetId="0">#REF!</definedName>
    <definedName name="\c">#REF!</definedName>
    <definedName name="\d" localSheetId="15">#REF!</definedName>
    <definedName name="\d" localSheetId="18">#REF!</definedName>
    <definedName name="\d" localSheetId="1">#REF!</definedName>
    <definedName name="\d" localSheetId="0">#REF!</definedName>
    <definedName name="\d">#REF!</definedName>
    <definedName name="\e" localSheetId="15">#REF!</definedName>
    <definedName name="\e" localSheetId="18">#REF!</definedName>
    <definedName name="\e" localSheetId="1">#REF!</definedName>
    <definedName name="\e" localSheetId="0">#REF!</definedName>
    <definedName name="\e">#REF!</definedName>
    <definedName name="\i" localSheetId="15">#REF!</definedName>
    <definedName name="\i" localSheetId="18">#REF!</definedName>
    <definedName name="\i" localSheetId="1">#REF!</definedName>
    <definedName name="\i" localSheetId="0">#REF!</definedName>
    <definedName name="\i">#REF!</definedName>
    <definedName name="\l" localSheetId="18">#REF!</definedName>
    <definedName name="\l" localSheetId="1">#REF!</definedName>
    <definedName name="\l" localSheetId="0">#REF!</definedName>
    <definedName name="\l">#REF!</definedName>
    <definedName name="\m" localSheetId="15">#REF!</definedName>
    <definedName name="\m" localSheetId="18">#REF!</definedName>
    <definedName name="\m" localSheetId="1">#REF!</definedName>
    <definedName name="\m" localSheetId="0">#REF!</definedName>
    <definedName name="\m">#REF!</definedName>
    <definedName name="\n" localSheetId="18">#REF!</definedName>
    <definedName name="\n" localSheetId="1">#REF!</definedName>
    <definedName name="\n" localSheetId="0">#REF!</definedName>
    <definedName name="\n">#REF!</definedName>
    <definedName name="\o" localSheetId="15">#REF!</definedName>
    <definedName name="\o" localSheetId="18">#REF!</definedName>
    <definedName name="\o" localSheetId="1">#REF!</definedName>
    <definedName name="\o" localSheetId="0">#REF!</definedName>
    <definedName name="\o">#REF!</definedName>
    <definedName name="\q" localSheetId="15">#REF!</definedName>
    <definedName name="\q" localSheetId="18">#REF!</definedName>
    <definedName name="\q" localSheetId="1">#REF!</definedName>
    <definedName name="\q" localSheetId="0">#REF!</definedName>
    <definedName name="\q">#REF!</definedName>
    <definedName name="\R" localSheetId="15">'[1]last qrt2001'!#REF!</definedName>
    <definedName name="\R" localSheetId="18">'[1]last qrt2001'!#REF!</definedName>
    <definedName name="\R" localSheetId="1">'[1]last qrt2001'!#REF!</definedName>
    <definedName name="\R" localSheetId="0">'[1]last qrt2001'!#REF!</definedName>
    <definedName name="\R" localSheetId="13">'[1]last qrt2001'!#REF!</definedName>
    <definedName name="\R">'[1]last qrt2001'!#REF!</definedName>
    <definedName name="\S" localSheetId="15">'[1]last qrt2001'!#REF!</definedName>
    <definedName name="\S" localSheetId="18">'[1]last qrt2001'!#REF!</definedName>
    <definedName name="\S" localSheetId="1">'[1]last qrt2001'!#REF!</definedName>
    <definedName name="\S" localSheetId="0">'[1]last qrt2001'!#REF!</definedName>
    <definedName name="\s" localSheetId="13">#REF!</definedName>
    <definedName name="\S">'[1]last qrt2001'!#REF!</definedName>
    <definedName name="\T" localSheetId="15">'[2]Notes1-5(old)'!#REF!</definedName>
    <definedName name="\T" localSheetId="18">'[2]Notes1-5(old)'!#REF!</definedName>
    <definedName name="\T" localSheetId="1">'[2]Notes1-5(old)'!#REF!</definedName>
    <definedName name="\T" localSheetId="0">'[2]Notes1-5(old)'!#REF!</definedName>
    <definedName name="\T">'[2]Notes1-5(old)'!#REF!</definedName>
    <definedName name="\z" localSheetId="15">#REF!</definedName>
    <definedName name="\z" localSheetId="18">#REF!</definedName>
    <definedName name="\z" localSheetId="1">#REF!</definedName>
    <definedName name="\z" localSheetId="0">#REF!</definedName>
    <definedName name="\z">#REF!</definedName>
    <definedName name="____ASH1">[3]Sheet4!$B$524:$E$625</definedName>
    <definedName name="____ASH2">[3]Sheet4!$P$422:$Q$523</definedName>
    <definedName name="____ASS1" localSheetId="18">#REF!</definedName>
    <definedName name="____ASS1" localSheetId="1">#REF!</definedName>
    <definedName name="____ASS1" localSheetId="0">#REF!</definedName>
    <definedName name="____ASS1">#REF!</definedName>
    <definedName name="____ASS2" localSheetId="18">#REF!</definedName>
    <definedName name="____ASS2" localSheetId="1">#REF!</definedName>
    <definedName name="____ASS2" localSheetId="0">#REF!</definedName>
    <definedName name="____ASS2">#REF!</definedName>
    <definedName name="____EPZ1">[3]Sheet4!$F$428:$F$519</definedName>
    <definedName name="____EPZ2">[3]Sheet4!$S$326:$S$417</definedName>
    <definedName name="____LIA1" localSheetId="18">#REF!</definedName>
    <definedName name="____LIA1" localSheetId="1">#REF!</definedName>
    <definedName name="____LIA1" localSheetId="0">#REF!</definedName>
    <definedName name="____LIA1">#REF!</definedName>
    <definedName name="____LIA2" localSheetId="18">#REF!</definedName>
    <definedName name="____LIA2" localSheetId="1">#REF!</definedName>
    <definedName name="____LIA2" localSheetId="0">#REF!</definedName>
    <definedName name="____LIA2">#REF!</definedName>
    <definedName name="____PL1" localSheetId="18">#REF!</definedName>
    <definedName name="____PL1" localSheetId="1">#REF!</definedName>
    <definedName name="____PL1" localSheetId="0">#REF!</definedName>
    <definedName name="____PL1">#REF!</definedName>
    <definedName name="____PL2" localSheetId="18">#REF!</definedName>
    <definedName name="____PL2" localSheetId="1">#REF!</definedName>
    <definedName name="____PL2" localSheetId="0">#REF!</definedName>
    <definedName name="____PL2">#REF!</definedName>
    <definedName name="____PP2" localSheetId="18">#REF!</definedName>
    <definedName name="____PP2" localSheetId="1">#REF!</definedName>
    <definedName name="____PP2" localSheetId="0">#REF!</definedName>
    <definedName name="____PP2">#REF!</definedName>
    <definedName name="____PP3" localSheetId="18">#REF!</definedName>
    <definedName name="____PP3" localSheetId="1">#REF!</definedName>
    <definedName name="____PP3" localSheetId="0">#REF!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8">#REF!</definedName>
    <definedName name="___ASS1" localSheetId="1">#REF!</definedName>
    <definedName name="___ASS1" localSheetId="0">#REF!</definedName>
    <definedName name="___ASS1" localSheetId="13">#REF!</definedName>
    <definedName name="___ASS1">#REF!</definedName>
    <definedName name="___ASS2" localSheetId="15">#REF!</definedName>
    <definedName name="___ASS2" localSheetId="18">#REF!</definedName>
    <definedName name="___ASS2" localSheetId="1">#REF!</definedName>
    <definedName name="___ASS2" localSheetId="0">#REF!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18">[6]AL905!#REF!</definedName>
    <definedName name="___hub0207" localSheetId="1">[6]AL905!#REF!</definedName>
    <definedName name="___hub0207" localSheetId="0">[6]AL905!#REF!</definedName>
    <definedName name="___hub0207">[6]AL905!#REF!</definedName>
    <definedName name="___LIA1" localSheetId="18">#REF!</definedName>
    <definedName name="___LIA1" localSheetId="1">#REF!</definedName>
    <definedName name="___LIA1" localSheetId="0">#REF!</definedName>
    <definedName name="___LIA1" localSheetId="13">#REF!</definedName>
    <definedName name="___LIA1">#REF!</definedName>
    <definedName name="___LIA2" localSheetId="18">#REF!</definedName>
    <definedName name="___LIA2" localSheetId="1">#REF!</definedName>
    <definedName name="___LIA2" localSheetId="0">#REF!</definedName>
    <definedName name="___LIA2">#REF!</definedName>
    <definedName name="___LMT1">'[5]I-B'!$F$1:$F$65536</definedName>
    <definedName name="___LMT2">'[5]I-BR'!$F$1:$F$65536</definedName>
    <definedName name="___PL1" localSheetId="18">#REF!</definedName>
    <definedName name="___PL1" localSheetId="1">#REF!</definedName>
    <definedName name="___PL1" localSheetId="0">#REF!</definedName>
    <definedName name="___PL1">#REF!</definedName>
    <definedName name="___PL2" localSheetId="18">#REF!</definedName>
    <definedName name="___PL2" localSheetId="1">#REF!</definedName>
    <definedName name="___PL2" localSheetId="0">#REF!</definedName>
    <definedName name="___PL2">#REF!</definedName>
    <definedName name="___PP2" localSheetId="18">#REF!</definedName>
    <definedName name="___PP2" localSheetId="1">#REF!</definedName>
    <definedName name="___PP2" localSheetId="0">#REF!</definedName>
    <definedName name="___PP2">#REF!</definedName>
    <definedName name="___PP3" localSheetId="18">#REF!</definedName>
    <definedName name="___PP3" localSheetId="1">#REF!</definedName>
    <definedName name="___PP3" localSheetId="0">#REF!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5" hidden="1">'[7]29-30'!#REF!</definedName>
    <definedName name="__123Graph_A" localSheetId="18" hidden="1">'[7]29-30'!#REF!</definedName>
    <definedName name="__123Graph_A" localSheetId="1" hidden="1">'[7]29-30'!#REF!</definedName>
    <definedName name="__123Graph_A" localSheetId="0" hidden="1">'[7]29-30'!#REF!</definedName>
    <definedName name="__123Graph_A" localSheetId="13" hidden="1">'[7]29-30'!#REF!</definedName>
    <definedName name="__123Graph_A" hidden="1">'[7]29-30'!#REF!</definedName>
    <definedName name="__123Graph_B" localSheetId="15" hidden="1">'[7]29-30'!#REF!</definedName>
    <definedName name="__123Graph_B" localSheetId="18" hidden="1">'[7]29-30'!#REF!</definedName>
    <definedName name="__123Graph_B" localSheetId="1" hidden="1">'[7]29-30'!#REF!</definedName>
    <definedName name="__123Graph_B" localSheetId="0" hidden="1">'[7]29-30'!#REF!</definedName>
    <definedName name="__123Graph_B" hidden="1">'[7]29-30'!#REF!</definedName>
    <definedName name="__123Graph_X" localSheetId="15" hidden="1">'[7]29-30'!#REF!</definedName>
    <definedName name="__123Graph_X" localSheetId="18" hidden="1">'[7]29-30'!#REF!</definedName>
    <definedName name="__123Graph_X" localSheetId="1" hidden="1">'[7]29-30'!#REF!</definedName>
    <definedName name="__123Graph_X" localSheetId="0" hidden="1">'[7]29-30'!#REF!</definedName>
    <definedName name="__123Graph_X" hidden="1">'[7]29-30'!#REF!</definedName>
    <definedName name="__ASH1">[3]Sheet4!$B$524:$E$625</definedName>
    <definedName name="__ASH2">[3]Sheet4!$P$422:$Q$523</definedName>
    <definedName name="__ASS1" localSheetId="15">#REF!</definedName>
    <definedName name="__ASS1" localSheetId="18">#REF!</definedName>
    <definedName name="__ASS1" localSheetId="1">#REF!</definedName>
    <definedName name="__ASS1" localSheetId="0">#REF!</definedName>
    <definedName name="__ASS1" localSheetId="13">#REF!</definedName>
    <definedName name="__ASS1">#REF!</definedName>
    <definedName name="__ASS2" localSheetId="15">#REF!</definedName>
    <definedName name="__ASS2" localSheetId="18">#REF!</definedName>
    <definedName name="__ASS2" localSheetId="1">#REF!</definedName>
    <definedName name="__ASS2" localSheetId="0">#REF!</definedName>
    <definedName name="__ASS2">#REF!</definedName>
    <definedName name="__BSC1" localSheetId="18">#REF!</definedName>
    <definedName name="__BSC1" localSheetId="1">#REF!</definedName>
    <definedName name="__BSC1" localSheetId="0">#REF!</definedName>
    <definedName name="__BSC1">#REF!</definedName>
    <definedName name="__BSD1" localSheetId="18">#REF!</definedName>
    <definedName name="__BSD1" localSheetId="1">#REF!</definedName>
    <definedName name="__BSD1" localSheetId="0">#REF!</definedName>
    <definedName name="__BSD1">#REF!</definedName>
    <definedName name="__BSH1" localSheetId="18">#REF!</definedName>
    <definedName name="__BSH1" localSheetId="1">#REF!</definedName>
    <definedName name="__BSH1" localSheetId="0">#REF!</definedName>
    <definedName name="__BSH1">#REF!</definedName>
    <definedName name="__BSP1" localSheetId="18">#REF!</definedName>
    <definedName name="__BSP1" localSheetId="1">#REF!</definedName>
    <definedName name="__BSP1" localSheetId="0">#REF!</definedName>
    <definedName name="__BSP1">#REF!</definedName>
    <definedName name="__BSS1" localSheetId="18">#REF!</definedName>
    <definedName name="__BSS1" localSheetId="1">#REF!</definedName>
    <definedName name="__BSS1" localSheetId="0">#REF!</definedName>
    <definedName name="__BSS1">#REF!</definedName>
    <definedName name="__BST1" localSheetId="18">#REF!</definedName>
    <definedName name="__BST1" localSheetId="1">#REF!</definedName>
    <definedName name="__BST1" localSheetId="0">#REF!</definedName>
    <definedName name="__BST1">#REF!</definedName>
    <definedName name="__Col1" localSheetId="18">#REF!</definedName>
    <definedName name="__Col1" localSheetId="1">#REF!</definedName>
    <definedName name="__Col1" localSheetId="0">#REF!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15">[6]AL905!#REF!</definedName>
    <definedName name="__hub0207" localSheetId="18">[6]AL905!#REF!</definedName>
    <definedName name="__hub0207" localSheetId="1">[6]AL905!#REF!</definedName>
    <definedName name="__hub0207" localSheetId="0">[6]AL905!#REF!</definedName>
    <definedName name="__hub0207" localSheetId="13">[6]AL905!#REF!</definedName>
    <definedName name="__hub0207">[6]AL905!#REF!</definedName>
    <definedName name="__IEC1" localSheetId="18">#REF!</definedName>
    <definedName name="__IEC1" localSheetId="1">#REF!</definedName>
    <definedName name="__IEC1" localSheetId="0">#REF!</definedName>
    <definedName name="__IEC1">#REF!</definedName>
    <definedName name="__IED1" localSheetId="18">#REF!</definedName>
    <definedName name="__IED1" localSheetId="1">#REF!</definedName>
    <definedName name="__IED1" localSheetId="0">#REF!</definedName>
    <definedName name="__IED1">#REF!</definedName>
    <definedName name="__IEH1" localSheetId="18">#REF!</definedName>
    <definedName name="__IEH1" localSheetId="1">#REF!</definedName>
    <definedName name="__IEH1" localSheetId="0">#REF!</definedName>
    <definedName name="__IEH1">#REF!</definedName>
    <definedName name="__IEP1" localSheetId="18">#REF!</definedName>
    <definedName name="__IEP1" localSheetId="1">#REF!</definedName>
    <definedName name="__IEP1" localSheetId="0">#REF!</definedName>
    <definedName name="__IEP1">#REF!</definedName>
    <definedName name="__IES1" localSheetId="18">#REF!</definedName>
    <definedName name="__IES1" localSheetId="1">#REF!</definedName>
    <definedName name="__IES1" localSheetId="0">#REF!</definedName>
    <definedName name="__IES1">#REF!</definedName>
    <definedName name="__IET1" localSheetId="18">#REF!</definedName>
    <definedName name="__IET1" localSheetId="1">#REF!</definedName>
    <definedName name="__IET1" localSheetId="0">#REF!</definedName>
    <definedName name="__IET1">#REF!</definedName>
    <definedName name="__LIA1" localSheetId="15">#REF!</definedName>
    <definedName name="__LIA1" localSheetId="18">#REF!</definedName>
    <definedName name="__LIA1" localSheetId="1">#REF!</definedName>
    <definedName name="__LIA1" localSheetId="0">#REF!</definedName>
    <definedName name="__LIA1" localSheetId="13">#REF!</definedName>
    <definedName name="__LIA1">#REF!</definedName>
    <definedName name="__LIA2" localSheetId="15">#REF!</definedName>
    <definedName name="__LIA2" localSheetId="18">#REF!</definedName>
    <definedName name="__LIA2" localSheetId="1">#REF!</definedName>
    <definedName name="__LIA2" localSheetId="0">#REF!</definedName>
    <definedName name="__LIA2">#REF!</definedName>
    <definedName name="__LMT1">'[5]I-B'!$F$1:$F$65536</definedName>
    <definedName name="__LMT2">'[5]I-BR'!$F$1:$F$65536</definedName>
    <definedName name="__PL1" localSheetId="15">#REF!</definedName>
    <definedName name="__PL1" localSheetId="18">#REF!</definedName>
    <definedName name="__PL1" localSheetId="1">#REF!</definedName>
    <definedName name="__PL1" localSheetId="0">#REF!</definedName>
    <definedName name="__PL1" localSheetId="13">#REF!</definedName>
    <definedName name="__PL1">#REF!</definedName>
    <definedName name="__PL2" localSheetId="15">#REF!</definedName>
    <definedName name="__PL2" localSheetId="18">#REF!</definedName>
    <definedName name="__PL2" localSheetId="1">#REF!</definedName>
    <definedName name="__PL2" localSheetId="0">#REF!</definedName>
    <definedName name="__PL2">#REF!</definedName>
    <definedName name="__pL3" localSheetId="18">#REF!</definedName>
    <definedName name="__pL3" localSheetId="1">#REF!</definedName>
    <definedName name="__pL3" localSheetId="0">#REF!</definedName>
    <definedName name="__pL3">#REF!</definedName>
    <definedName name="__PP2" localSheetId="15">#REF!</definedName>
    <definedName name="__PP2" localSheetId="18">#REF!</definedName>
    <definedName name="__PP2" localSheetId="1">#REF!</definedName>
    <definedName name="__PP2" localSheetId="0">#REF!</definedName>
    <definedName name="__PP2">#REF!</definedName>
    <definedName name="__PP3" localSheetId="15">#REF!</definedName>
    <definedName name="__PP3" localSheetId="18">#REF!</definedName>
    <definedName name="__PP3" localSheetId="1">#REF!</definedName>
    <definedName name="__PP3" localSheetId="0">#REF!</definedName>
    <definedName name="__PP3">#REF!</definedName>
    <definedName name="__REC1999">'[4]RC-0997'!$B$132:$Q$171</definedName>
    <definedName name="__TMO1" localSheetId="18">'[8]BS-OVS'!#REF!</definedName>
    <definedName name="__TMO1" localSheetId="1">'[8]BS-OVS'!#REF!</definedName>
    <definedName name="__TMO1" localSheetId="0">'[8]BS-OVS'!#REF!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8">#REF!</definedName>
    <definedName name="_1" localSheetId="1">#REF!</definedName>
    <definedName name="_1" localSheetId="0">#REF!</definedName>
    <definedName name="_1" localSheetId="13">#REF!</definedName>
    <definedName name="_1">#REF!</definedName>
    <definedName name="_1.1" localSheetId="18">#REF!</definedName>
    <definedName name="_1.1" localSheetId="1">#REF!</definedName>
    <definedName name="_1.1" localSheetId="0">#REF!</definedName>
    <definedName name="_1.1">#REF!</definedName>
    <definedName name="_1.2" localSheetId="15">[9]Sheet3!#REF!</definedName>
    <definedName name="_1.2" localSheetId="18">[9]Sheet3!#REF!</definedName>
    <definedName name="_1.2" localSheetId="1">[9]Sheet3!#REF!</definedName>
    <definedName name="_1.2" localSheetId="0">[9]Sheet3!#REF!</definedName>
    <definedName name="_1.2" localSheetId="13">[9]Sheet3!#REF!</definedName>
    <definedName name="_1.2">[9]Sheet3!#REF!</definedName>
    <definedName name="_1_" localSheetId="18">#REF!</definedName>
    <definedName name="_1_" localSheetId="1">#REF!</definedName>
    <definedName name="_1_" localSheetId="0">#REF!</definedName>
    <definedName name="_1_">#REF!</definedName>
    <definedName name="_10" localSheetId="18">#REF!</definedName>
    <definedName name="_10" localSheetId="1">#REF!</definedName>
    <definedName name="_10" localSheetId="0">#REF!</definedName>
    <definedName name="_10" localSheetId="13">#REF!</definedName>
    <definedName name="_10">#REF!</definedName>
    <definedName name="_11" localSheetId="18">#REF!</definedName>
    <definedName name="_11" localSheetId="1">#REF!</definedName>
    <definedName name="_11" localSheetId="0">#REF!</definedName>
    <definedName name="_11">#REF!</definedName>
    <definedName name="_12" localSheetId="15">#REF!</definedName>
    <definedName name="_12" localSheetId="18">#REF!</definedName>
    <definedName name="_12" localSheetId="1">#REF!</definedName>
    <definedName name="_12" localSheetId="0">#REF!</definedName>
    <definedName name="_12">#REF!</definedName>
    <definedName name="_13" localSheetId="18">#REF!</definedName>
    <definedName name="_13" localSheetId="1">#REF!</definedName>
    <definedName name="_13" localSheetId="0">#REF!</definedName>
    <definedName name="_13">#REF!</definedName>
    <definedName name="_14" localSheetId="15">#REF!</definedName>
    <definedName name="_14" localSheetId="18">#REF!</definedName>
    <definedName name="_14" localSheetId="1">#REF!</definedName>
    <definedName name="_14" localSheetId="0">#REF!</definedName>
    <definedName name="_14">#REF!</definedName>
    <definedName name="_15" localSheetId="18">#REF!</definedName>
    <definedName name="_15" localSheetId="1">#REF!</definedName>
    <definedName name="_15" localSheetId="0">#REF!</definedName>
    <definedName name="_15">#REF!</definedName>
    <definedName name="_16" localSheetId="18">#REF!</definedName>
    <definedName name="_16" localSheetId="1">#REF!</definedName>
    <definedName name="_16" localSheetId="0">#REF!</definedName>
    <definedName name="_16">#REF!</definedName>
    <definedName name="_17" localSheetId="18">#REF!</definedName>
    <definedName name="_17" localSheetId="1">#REF!</definedName>
    <definedName name="_17" localSheetId="0">#REF!</definedName>
    <definedName name="_17">#REF!</definedName>
    <definedName name="_18" localSheetId="18">#REF!</definedName>
    <definedName name="_18" localSheetId="1">#REF!</definedName>
    <definedName name="_18" localSheetId="0">#REF!</definedName>
    <definedName name="_18">#REF!</definedName>
    <definedName name="_19" localSheetId="15">#REF!</definedName>
    <definedName name="_19" localSheetId="18">#REF!</definedName>
    <definedName name="_19" localSheetId="1">#REF!</definedName>
    <definedName name="_19" localSheetId="0">#REF!</definedName>
    <definedName name="_19">#REF!</definedName>
    <definedName name="_2" localSheetId="18">#REF!</definedName>
    <definedName name="_2" localSheetId="1">#REF!</definedName>
    <definedName name="_2" localSheetId="0">#REF!</definedName>
    <definedName name="_2">#REF!</definedName>
    <definedName name="_2.1" localSheetId="18">#REF!</definedName>
    <definedName name="_2.1" localSheetId="1">#REF!</definedName>
    <definedName name="_2.1" localSheetId="0">#REF!</definedName>
    <definedName name="_2.1">#REF!</definedName>
    <definedName name="_2.2" localSheetId="15">[9]Sheet3!#REF!</definedName>
    <definedName name="_2.2" localSheetId="18">[9]Sheet3!#REF!</definedName>
    <definedName name="_2.2" localSheetId="1">[9]Sheet3!#REF!</definedName>
    <definedName name="_2.2" localSheetId="0">[9]Sheet3!#REF!</definedName>
    <definedName name="_2.2" localSheetId="13">[9]Sheet3!#REF!</definedName>
    <definedName name="_2.2">[9]Sheet3!#REF!</definedName>
    <definedName name="_20" localSheetId="18">#REF!</definedName>
    <definedName name="_20" localSheetId="1">#REF!</definedName>
    <definedName name="_20" localSheetId="0">#REF!</definedName>
    <definedName name="_20" localSheetId="13">#REF!</definedName>
    <definedName name="_20">#REF!</definedName>
    <definedName name="_21" localSheetId="18">#REF!</definedName>
    <definedName name="_21" localSheetId="1">#REF!</definedName>
    <definedName name="_21" localSheetId="0">#REF!</definedName>
    <definedName name="_21">#REF!</definedName>
    <definedName name="_24_06_2004" localSheetId="15">#REF!</definedName>
    <definedName name="_24_06_2004" localSheetId="18">#REF!</definedName>
    <definedName name="_24_06_2004" localSheetId="1">#REF!</definedName>
    <definedName name="_24_06_2004" localSheetId="0">#REF!</definedName>
    <definedName name="_24_06_2004">#REF!</definedName>
    <definedName name="_29_07_2004" localSheetId="15">#REF!</definedName>
    <definedName name="_29_07_2004" localSheetId="18">#REF!</definedName>
    <definedName name="_29_07_2004" localSheetId="1">#REF!</definedName>
    <definedName name="_29_07_2004" localSheetId="0">#REF!</definedName>
    <definedName name="_29_07_2004">#REF!</definedName>
    <definedName name="_3" localSheetId="15">#REF!</definedName>
    <definedName name="_3" localSheetId="18">#REF!</definedName>
    <definedName name="_3" localSheetId="1">#REF!</definedName>
    <definedName name="_3" localSheetId="0">#REF!</definedName>
    <definedName name="_3">#REF!</definedName>
    <definedName name="_3.1">[3]Sheet4!$A$110</definedName>
    <definedName name="_3.2">[3]Sheet4!$O$8</definedName>
    <definedName name="_3.3" localSheetId="15">[9]Sheet2!#REF!</definedName>
    <definedName name="_3.3" localSheetId="18">[9]Sheet2!#REF!</definedName>
    <definedName name="_3.3" localSheetId="1">[9]Sheet2!#REF!</definedName>
    <definedName name="_3.3" localSheetId="0">[9]Sheet2!#REF!</definedName>
    <definedName name="_3.3" localSheetId="13">[9]Sheet2!#REF!</definedName>
    <definedName name="_3.3">[9]Sheet2!#REF!</definedName>
    <definedName name="_4" localSheetId="15">#REF!</definedName>
    <definedName name="_4" localSheetId="18">#REF!</definedName>
    <definedName name="_4" localSheetId="1">#REF!</definedName>
    <definedName name="_4" localSheetId="0">#REF!</definedName>
    <definedName name="_4">#REF!</definedName>
    <definedName name="_4.1">[3]Sheet4!$A$214</definedName>
    <definedName name="_4.2">[3]Sheet4!$O$112</definedName>
    <definedName name="_5" localSheetId="18">#REF!</definedName>
    <definedName name="_5" localSheetId="1">#REF!</definedName>
    <definedName name="_5" localSheetId="0">#REF!</definedName>
    <definedName name="_5" localSheetId="13">#REF!</definedName>
    <definedName name="_5">#REF!</definedName>
    <definedName name="_5.1">[3]Sheet4!$A$318</definedName>
    <definedName name="_5.2">[3]Sheet4!$O$216</definedName>
    <definedName name="_6" localSheetId="18">#REF!</definedName>
    <definedName name="_6" localSheetId="1">#REF!</definedName>
    <definedName name="_6" localSheetId="0">#REF!</definedName>
    <definedName name="_6" localSheetId="13">#REF!</definedName>
    <definedName name="_6">#REF!</definedName>
    <definedName name="_6.1">[3]Sheet4!$A$422</definedName>
    <definedName name="_6.2">[3]Sheet4!$O$320</definedName>
    <definedName name="_7" localSheetId="18">#REF!</definedName>
    <definedName name="_7" localSheetId="1">#REF!</definedName>
    <definedName name="_7" localSheetId="0">#REF!</definedName>
    <definedName name="_7" localSheetId="13">#REF!</definedName>
    <definedName name="_7">#REF!</definedName>
    <definedName name="_7.1">[3]Sheet4!$A$526</definedName>
    <definedName name="_7.2">[3]Sheet4!$O$424</definedName>
    <definedName name="_8" localSheetId="15">#REF!</definedName>
    <definedName name="_8" localSheetId="18">#REF!</definedName>
    <definedName name="_8" localSheetId="1">#REF!</definedName>
    <definedName name="_8" localSheetId="0">#REF!</definedName>
    <definedName name="_8">#REF!</definedName>
    <definedName name="_9" localSheetId="15">#REF!</definedName>
    <definedName name="_9" localSheetId="18">#REF!</definedName>
    <definedName name="_9" localSheetId="1">#REF!</definedName>
    <definedName name="_9" localSheetId="0">#REF!</definedName>
    <definedName name="_9">#REF!</definedName>
    <definedName name="_ASH1" localSheetId="13">[10]Sheet4!$B$524:$E$625</definedName>
    <definedName name="_ASH1">[3]Sheet4!$B$524:$E$625</definedName>
    <definedName name="_ASH2" localSheetId="13">[10]Sheet4!$P$422:$Q$523</definedName>
    <definedName name="_ASH2">[3]Sheet4!$P$422:$Q$523</definedName>
    <definedName name="_ASS1" localSheetId="15">#REF!</definedName>
    <definedName name="_ASS1" localSheetId="18">#REF!</definedName>
    <definedName name="_ASS1" localSheetId="1">#REF!</definedName>
    <definedName name="_ASS1" localSheetId="0">#REF!</definedName>
    <definedName name="_ASS1" localSheetId="13">'[11]Abu Dhabi'!#REF!</definedName>
    <definedName name="_ASS1">#REF!</definedName>
    <definedName name="_ASS2" localSheetId="15">#REF!</definedName>
    <definedName name="_ASS2" localSheetId="18">#REF!</definedName>
    <definedName name="_ASS2" localSheetId="1">#REF!</definedName>
    <definedName name="_ASS2" localSheetId="0">#REF!</definedName>
    <definedName name="_ASS2" localSheetId="13">[12]BSDOMOVS!#REF!</definedName>
    <definedName name="_ASS2">#REF!</definedName>
    <definedName name="_BSC1" localSheetId="18">#REF!</definedName>
    <definedName name="_BSC1" localSheetId="1">#REF!</definedName>
    <definedName name="_BSC1" localSheetId="0">#REF!</definedName>
    <definedName name="_BSC1">#REF!</definedName>
    <definedName name="_BSD1" localSheetId="15">#REF!</definedName>
    <definedName name="_BSD1" localSheetId="18">#REF!</definedName>
    <definedName name="_BSD1" localSheetId="1">#REF!</definedName>
    <definedName name="_BSD1" localSheetId="0">#REF!</definedName>
    <definedName name="_BSD1">#REF!</definedName>
    <definedName name="_BSH1" localSheetId="15">#REF!</definedName>
    <definedName name="_BSH1" localSheetId="18">#REF!</definedName>
    <definedName name="_BSH1" localSheetId="1">#REF!</definedName>
    <definedName name="_BSH1" localSheetId="0">#REF!</definedName>
    <definedName name="_BSH1">#REF!</definedName>
    <definedName name="_BSP1" localSheetId="15">#REF!</definedName>
    <definedName name="_BSP1" localSheetId="18">#REF!</definedName>
    <definedName name="_BSP1" localSheetId="1">#REF!</definedName>
    <definedName name="_BSP1" localSheetId="0">#REF!</definedName>
    <definedName name="_BSP1">#REF!</definedName>
    <definedName name="_BSS1" localSheetId="15">#REF!</definedName>
    <definedName name="_BSS1" localSheetId="18">#REF!</definedName>
    <definedName name="_BSS1" localSheetId="1">#REF!</definedName>
    <definedName name="_BSS1" localSheetId="0">#REF!</definedName>
    <definedName name="_BSS1">#REF!</definedName>
    <definedName name="_BST1" localSheetId="15">#REF!</definedName>
    <definedName name="_BST1" localSheetId="18">#REF!</definedName>
    <definedName name="_BST1" localSheetId="1">#REF!</definedName>
    <definedName name="_BST1" localSheetId="0">#REF!</definedName>
    <definedName name="_BST1">#REF!</definedName>
    <definedName name="_Col1" localSheetId="15">#REF!</definedName>
    <definedName name="_Col1" localSheetId="18">#REF!</definedName>
    <definedName name="_Col1" localSheetId="1">#REF!</definedName>
    <definedName name="_Col1" localSheetId="0">#REF!</definedName>
    <definedName name="_Col1">#REF!</definedName>
    <definedName name="_crt1">'[13]I-B'!$B$1:$B$65536</definedName>
    <definedName name="_crt2">'[13]I-BR'!$B$1:$B$65536</definedName>
    <definedName name="_EPZ1" localSheetId="13">[10]Sheet4!$F$428:$F$519</definedName>
    <definedName name="_EPZ1">[3]Sheet4!$F$428:$F$519</definedName>
    <definedName name="_EPZ2" localSheetId="13">[10]Sheet4!$S$326:$S$417</definedName>
    <definedName name="_EPZ2">[3]Sheet4!$S$326:$S$417</definedName>
    <definedName name="_Fill" hidden="1">[3]Sheet4!$F$300</definedName>
    <definedName name="_xlnm._FilterDatabase" localSheetId="15" hidden="1">#REF!</definedName>
    <definedName name="_xlnm._FilterDatabase" localSheetId="18" hidden="1">#REF!</definedName>
    <definedName name="_xlnm._FilterDatabase" localSheetId="1" hidden="1">#REF!</definedName>
    <definedName name="_xlnm._FilterDatabase" localSheetId="0" hidden="1">#REF!</definedName>
    <definedName name="_xlnm._FilterDatabase" localSheetId="9" hidden="1">#REF!</definedName>
    <definedName name="_xlnm._FilterDatabase" hidden="1">#REF!</definedName>
    <definedName name="_FMT1">'[13]I-B'!$E$1:$E$65536</definedName>
    <definedName name="_FMT2">'[13]I-BR'!$E$1:$E$65536</definedName>
    <definedName name="_hub0207" localSheetId="15">[6]AL905!#REF!</definedName>
    <definedName name="_hub0207" localSheetId="18">[6]AL905!#REF!</definedName>
    <definedName name="_hub0207" localSheetId="1">[6]AL905!#REF!</definedName>
    <definedName name="_hub0207" localSheetId="0">[6]AL905!#REF!</definedName>
    <definedName name="_hub0207" localSheetId="13">[6]AL905!#REF!</definedName>
    <definedName name="_hub0207">[6]AL905!#REF!</definedName>
    <definedName name="_IEC1" localSheetId="15">#REF!</definedName>
    <definedName name="_IEC1" localSheetId="18">#REF!</definedName>
    <definedName name="_IEC1" localSheetId="1">#REF!</definedName>
    <definedName name="_IEC1" localSheetId="0">#REF!</definedName>
    <definedName name="_IEC1" localSheetId="13">#REF!</definedName>
    <definedName name="_IEC1">#REF!</definedName>
    <definedName name="_IED1" localSheetId="15">#REF!</definedName>
    <definedName name="_IED1" localSheetId="18">#REF!</definedName>
    <definedName name="_IED1" localSheetId="1">#REF!</definedName>
    <definedName name="_IED1" localSheetId="0">#REF!</definedName>
    <definedName name="_IED1">#REF!</definedName>
    <definedName name="_IEH1" localSheetId="15">#REF!</definedName>
    <definedName name="_IEH1" localSheetId="18">#REF!</definedName>
    <definedName name="_IEH1" localSheetId="1">#REF!</definedName>
    <definedName name="_IEH1" localSheetId="0">#REF!</definedName>
    <definedName name="_IEH1">#REF!</definedName>
    <definedName name="_IEP1" localSheetId="15">#REF!</definedName>
    <definedName name="_IEP1" localSheetId="18">#REF!</definedName>
    <definedName name="_IEP1" localSheetId="1">#REF!</definedName>
    <definedName name="_IEP1" localSheetId="0">#REF!</definedName>
    <definedName name="_IEP1">#REF!</definedName>
    <definedName name="_IES1" localSheetId="15">#REF!</definedName>
    <definedName name="_IES1" localSheetId="18">#REF!</definedName>
    <definedName name="_IES1" localSheetId="1">#REF!</definedName>
    <definedName name="_IES1" localSheetId="0">#REF!</definedName>
    <definedName name="_IES1">#REF!</definedName>
    <definedName name="_IET1" localSheetId="15">#REF!</definedName>
    <definedName name="_IET1" localSheetId="18">#REF!</definedName>
    <definedName name="_IET1" localSheetId="1">#REF!</definedName>
    <definedName name="_IET1" localSheetId="0">#REF!</definedName>
    <definedName name="_IET1">#REF!</definedName>
    <definedName name="_LIA1" localSheetId="15">#REF!</definedName>
    <definedName name="_LIA1" localSheetId="18">#REF!</definedName>
    <definedName name="_LIA1" localSheetId="1">#REF!</definedName>
    <definedName name="_LIA1" localSheetId="0">#REF!</definedName>
    <definedName name="_LIA1">#REF!</definedName>
    <definedName name="_LIA2" localSheetId="15">#REF!</definedName>
    <definedName name="_LIA2" localSheetId="18">#REF!</definedName>
    <definedName name="_LIA2" localSheetId="1">#REF!</definedName>
    <definedName name="_LIA2" localSheetId="0">#REF!</definedName>
    <definedName name="_LIA2">#REF!</definedName>
    <definedName name="_LMT1">'[13]I-B'!$G$1:$G$65536</definedName>
    <definedName name="_LMT2">'[13]I-BR'!$G$1:$G$65536</definedName>
    <definedName name="_PL1" localSheetId="15">#REF!</definedName>
    <definedName name="_PL1" localSheetId="18">#REF!</definedName>
    <definedName name="_PL1" localSheetId="1">#REF!</definedName>
    <definedName name="_PL1" localSheetId="0">#REF!</definedName>
    <definedName name="_PL1">#REF!</definedName>
    <definedName name="_PL2" localSheetId="15">#REF!</definedName>
    <definedName name="_PL2" localSheetId="18">#REF!</definedName>
    <definedName name="_PL2" localSheetId="1">#REF!</definedName>
    <definedName name="_PL2" localSheetId="0">#REF!</definedName>
    <definedName name="_PL2">#REF!</definedName>
    <definedName name="_pL3" localSheetId="18">#REF!</definedName>
    <definedName name="_pL3" localSheetId="1">#REF!</definedName>
    <definedName name="_pL3" localSheetId="0">#REF!</definedName>
    <definedName name="_pL3">#REF!</definedName>
    <definedName name="_PP2" localSheetId="15">#REF!</definedName>
    <definedName name="_PP2" localSheetId="18">#REF!</definedName>
    <definedName name="_PP2" localSheetId="1">#REF!</definedName>
    <definedName name="_PP2" localSheetId="0">#REF!</definedName>
    <definedName name="_PP2">#REF!</definedName>
    <definedName name="_PP3" localSheetId="15">#REF!</definedName>
    <definedName name="_PP3" localSheetId="18">#REF!</definedName>
    <definedName name="_PP3" localSheetId="1">#REF!</definedName>
    <definedName name="_PP3" localSheetId="0">#REF!</definedName>
    <definedName name="_PP3">#REF!</definedName>
    <definedName name="_REC1999">'[4]RC-0997'!$B$132:$Q$171</definedName>
    <definedName name="_TMO1" localSheetId="15">'[8]BS-OVS'!#REF!</definedName>
    <definedName name="_TMO1" localSheetId="18">'[8]BS-OVS'!#REF!</definedName>
    <definedName name="_TMO1" localSheetId="1">'[8]BS-OVS'!#REF!</definedName>
    <definedName name="_TMO1" localSheetId="0">'[8]BS-OVS'!#REF!</definedName>
    <definedName name="_TMO1" localSheetId="13">'[8]BS-OVS'!#REF!</definedName>
    <definedName name="_TMO1">'[8]BS-OVS'!#REF!</definedName>
    <definedName name="_UAE1" localSheetId="13">[10]Sheet4!$D$116:$D$207</definedName>
    <definedName name="_UAE1">[3]Sheet4!$D$116:$D$207</definedName>
    <definedName name="_UAE2" localSheetId="13">[10]Sheet4!$Q$14:$Q$105</definedName>
    <definedName name="_UAE2">[3]Sheet4!$Q$14:$Q$105</definedName>
    <definedName name="_UK1" localSheetId="13">[10]Sheet4!$F$324:$F$415</definedName>
    <definedName name="_UK1">[3]Sheet4!$F$324:$F$415</definedName>
    <definedName name="_UK2" localSheetId="13">[10]Sheet4!$S$222:$S$313</definedName>
    <definedName name="_UK2">[3]Sheet4!$S$222:$S$313</definedName>
    <definedName name="_USA1" localSheetId="13">[10]Sheet4!$D$428:$D$519</definedName>
    <definedName name="_USA1">[3]Sheet4!$D$428:$D$519</definedName>
    <definedName name="_USA2" localSheetId="13">[10]Sheet4!$Q$326:$Q$417</definedName>
    <definedName name="_USA2">[3]Sheet4!$Q$326:$Q$417</definedName>
    <definedName name="a" localSheetId="15">'[14]BS-OVS'!#REF!</definedName>
    <definedName name="a" localSheetId="18">'[14]BS-OVS'!#REF!</definedName>
    <definedName name="a" localSheetId="1">'[14]BS-OVS'!#REF!</definedName>
    <definedName name="a" localSheetId="0">'[14]BS-OVS'!#REF!</definedName>
    <definedName name="a" localSheetId="13">'[14]BS-OVS'!#REF!</definedName>
    <definedName name="a">'[14]BS-OVS'!#REF!</definedName>
    <definedName name="AA" localSheetId="18">#REF!</definedName>
    <definedName name="AA" localSheetId="1">#REF!</definedName>
    <definedName name="AA" localSheetId="0">#REF!</definedName>
    <definedName name="AA" localSheetId="13">#REF!</definedName>
    <definedName name="AA">#REF!</definedName>
    <definedName name="aaa" localSheetId="18">#REF!</definedName>
    <definedName name="aaa" localSheetId="1">#REF!</definedName>
    <definedName name="aaa" localSheetId="0">#REF!</definedName>
    <definedName name="aaa">#REF!</definedName>
    <definedName name="aaaaa" localSheetId="15">[9]Sheet3!#REF!</definedName>
    <definedName name="aaaaa" localSheetId="18">[9]Sheet3!#REF!</definedName>
    <definedName name="aaaaa" localSheetId="1">[9]Sheet3!#REF!</definedName>
    <definedName name="aaaaa" localSheetId="0">[9]Sheet3!#REF!</definedName>
    <definedName name="aaaaa" localSheetId="13">[9]Sheet3!#REF!</definedName>
    <definedName name="aaaaa">[9]Sheet3!#REF!</definedName>
    <definedName name="AB" localSheetId="18">#REF!</definedName>
    <definedName name="AB" localSheetId="1">#REF!</definedName>
    <definedName name="AB" localSheetId="0">#REF!</definedName>
    <definedName name="AB" localSheetId="13">#REF!</definedName>
    <definedName name="AB">#REF!</definedName>
    <definedName name="abc" localSheetId="15">#REF!</definedName>
    <definedName name="abc" localSheetId="18">#REF!</definedName>
    <definedName name="abc" localSheetId="1">#REF!</definedName>
    <definedName name="abc" localSheetId="0">#REF!</definedName>
    <definedName name="abc">#REF!</definedName>
    <definedName name="AC" localSheetId="18">#REF!</definedName>
    <definedName name="AC" localSheetId="1">#REF!</definedName>
    <definedName name="AC" localSheetId="0">#REF!</definedName>
    <definedName name="ac" localSheetId="13">[15]INPUT!$B$6:$G$83</definedName>
    <definedName name="AC">#REF!</definedName>
    <definedName name="Acc.Code" localSheetId="15">#REF!</definedName>
    <definedName name="Acc.Code" localSheetId="18">#REF!</definedName>
    <definedName name="Acc.Code" localSheetId="1">#REF!</definedName>
    <definedName name="Acc.Code" localSheetId="0">#REF!</definedName>
    <definedName name="Acc.Code">#REF!</definedName>
    <definedName name="ad">[16]A!$Q$604:$Q$639</definedName>
    <definedName name="adghs" localSheetId="18">#REF!</definedName>
    <definedName name="adghs" localSheetId="1">#REF!</definedName>
    <definedName name="adghs" localSheetId="0">#REF!</definedName>
    <definedName name="adghs">#REF!</definedName>
    <definedName name="ADV" localSheetId="15">[17]acct!#REF!</definedName>
    <definedName name="ADV" localSheetId="18">[17]acct!#REF!</definedName>
    <definedName name="ADV" localSheetId="1">[17]acct!#REF!</definedName>
    <definedName name="ADV" localSheetId="0">[17]acct!#REF!</definedName>
    <definedName name="ADV" localSheetId="13">[17]acct!#REF!</definedName>
    <definedName name="ADV">[17]acct!#REF!</definedName>
    <definedName name="AED" localSheetId="15">#REF!</definedName>
    <definedName name="AED" localSheetId="18">#REF!</definedName>
    <definedName name="AED" localSheetId="1">#REF!</definedName>
    <definedName name="AED" localSheetId="0">#REF!</definedName>
    <definedName name="AED">#REF!</definedName>
    <definedName name="affair" localSheetId="15">[18]BSDOMOVS!#REF!</definedName>
    <definedName name="affair" localSheetId="18">[18]BSDOMOVS!#REF!</definedName>
    <definedName name="affair" localSheetId="1">[18]BSDOMOVS!#REF!</definedName>
    <definedName name="affair" localSheetId="0">[18]BSDOMOVS!#REF!</definedName>
    <definedName name="affair" localSheetId="13">[18]BSDOMOVS!#REF!</definedName>
    <definedName name="affair">[18]BSDOMOVS!#REF!</definedName>
    <definedName name="AKK" localSheetId="6" hidden="1">{"'CALL MONEY'!$K$53"}</definedName>
    <definedName name="AKK" localSheetId="13" hidden="1">{"'CALL MONEY'!$K$53"}</definedName>
    <definedName name="AKK" localSheetId="9" hidden="1">{"'CALL MONEY'!$K$53"}</definedName>
    <definedName name="AKK" hidden="1">{"'CALL MONEY'!$K$53"}</definedName>
    <definedName name="alco" localSheetId="15">#REF!</definedName>
    <definedName name="alco" localSheetId="18">#REF!</definedName>
    <definedName name="alco" localSheetId="1">#REF!</definedName>
    <definedName name="alco" localSheetId="0">#REF!</definedName>
    <definedName name="alco">#REF!</definedName>
    <definedName name="alijamall1" localSheetId="0">'[1]last qrt2001'!#REF!</definedName>
    <definedName name="alijamall1">'[1]last qrt2001'!#REF!</definedName>
    <definedName name="Amount" localSheetId="15">#REF!</definedName>
    <definedName name="Amount" localSheetId="18">#REF!</definedName>
    <definedName name="Amount" localSheetId="1">#REF!</definedName>
    <definedName name="Amount" localSheetId="0">#REF!</definedName>
    <definedName name="Amount">#REF!</definedName>
    <definedName name="annex1" localSheetId="0">#REF!</definedName>
    <definedName name="annex1">#REF!</definedName>
    <definedName name="APAGE1" localSheetId="18">#REF!</definedName>
    <definedName name="APAGE1" localSheetId="1">#REF!</definedName>
    <definedName name="APAGE1" localSheetId="0">#REF!</definedName>
    <definedName name="APAGE1">#REF!</definedName>
    <definedName name="APAGE2" localSheetId="18">#REF!</definedName>
    <definedName name="APAGE2" localSheetId="1">#REF!</definedName>
    <definedName name="APAGE2" localSheetId="0">#REF!</definedName>
    <definedName name="APAGE2">#REF!</definedName>
    <definedName name="APAGE3" localSheetId="18">#REF!</definedName>
    <definedName name="APAGE3" localSheetId="1">#REF!</definedName>
    <definedName name="APAGE3" localSheetId="0">#REF!</definedName>
    <definedName name="APAGE3">#REF!</definedName>
    <definedName name="APAGE4" localSheetId="18">#REF!</definedName>
    <definedName name="APAGE4" localSheetId="1">#REF!</definedName>
    <definedName name="APAGE4" localSheetId="0">#REF!</definedName>
    <definedName name="APAGE4">#REF!</definedName>
    <definedName name="ARA_Threshold" localSheetId="18">#REF!</definedName>
    <definedName name="ARA_Threshold" localSheetId="1">#REF!</definedName>
    <definedName name="ARA_Threshold" localSheetId="0">#REF!</definedName>
    <definedName name="ARA_Threshold">#REF!</definedName>
    <definedName name="ARP_Threshold" localSheetId="18">#REF!</definedName>
    <definedName name="ARP_Threshold" localSheetId="1">#REF!</definedName>
    <definedName name="ARP_Threshold" localSheetId="0">#REF!</definedName>
    <definedName name="ARP_Threshold">#REF!</definedName>
    <definedName name="as">[10]Sheet4!$A$421:$Q$523</definedName>
    <definedName name="AS2DocOpenMode" hidden="1">"AS2DocumentEdit"</definedName>
    <definedName name="AS2LinkLS" hidden="1">#REF!</definedName>
    <definedName name="AS2ReportLS" hidden="1">1</definedName>
    <definedName name="AS2StaticLS" localSheetId="18" hidden="1">#REF!</definedName>
    <definedName name="AS2StaticLS" localSheetId="1" hidden="1">#REF!</definedName>
    <definedName name="AS2StaticLS" localSheetId="0" hidden="1">#REF!</definedName>
    <definedName name="AS2StaticLS" hidden="1">#REF!</definedName>
    <definedName name="AS2SyncStepLS" hidden="1">0</definedName>
    <definedName name="AS2TickmarkLS" localSheetId="18" hidden="1">#REF!</definedName>
    <definedName name="AS2TickmarkLS" localSheetId="1" hidden="1">#REF!</definedName>
    <definedName name="AS2TickmarkLS" localSheetId="0" hidden="1">#REF!</definedName>
    <definedName name="AS2TickmarkLS" localSheetId="13" hidden="1">#REF!</definedName>
    <definedName name="AS2TickmarkLS" hidden="1">#REF!</definedName>
    <definedName name="AS2VersionLS" hidden="1">300</definedName>
    <definedName name="asd" localSheetId="18">#REF!</definedName>
    <definedName name="asd" localSheetId="1">#REF!</definedName>
    <definedName name="asd" localSheetId="0">#REF!</definedName>
    <definedName name="asd">#REF!</definedName>
    <definedName name="asdf" localSheetId="6" hidden="1">{"'CALL MONEY'!$K$53"}</definedName>
    <definedName name="asdf" localSheetId="13" hidden="1">{"'CALL MONEY'!$K$53"}</definedName>
    <definedName name="asdf" localSheetId="9" hidden="1">{"'CALL MONEY'!$K$53"}</definedName>
    <definedName name="asdf" hidden="1">{"'CALL MONEY'!$K$53"}</definedName>
    <definedName name="ashdah" localSheetId="18">#REF!</definedName>
    <definedName name="ashdah" localSheetId="1">#REF!</definedName>
    <definedName name="ashdah" localSheetId="0">#REF!</definedName>
    <definedName name="ashdah">#REF!</definedName>
    <definedName name="ASHRAF" localSheetId="18">#REF!</definedName>
    <definedName name="ASHRAF" localSheetId="1">#REF!</definedName>
    <definedName name="ASHRAF" localSheetId="0">#REF!</definedName>
    <definedName name="ASHRAF" localSheetId="13">#REF!</definedName>
    <definedName name="ASHRAF">#REF!</definedName>
    <definedName name="ASSE" localSheetId="15">[9]Sheet3!#REF!</definedName>
    <definedName name="ASSE" localSheetId="18">[9]Sheet3!#REF!</definedName>
    <definedName name="ASSE" localSheetId="1">[9]Sheet3!#REF!</definedName>
    <definedName name="ASSE" localSheetId="0">[9]Sheet3!#REF!</definedName>
    <definedName name="ASSE" localSheetId="13">[9]Sheet3!#REF!</definedName>
    <definedName name="ASSE">[9]Sheet3!#REF!</definedName>
    <definedName name="ASSET1" localSheetId="18">#REF!</definedName>
    <definedName name="ASSET1" localSheetId="1">#REF!</definedName>
    <definedName name="ASSET1" localSheetId="0">#REF!</definedName>
    <definedName name="ASSET1" localSheetId="13">#REF!</definedName>
    <definedName name="ASSET1">#REF!</definedName>
    <definedName name="ASSET2" localSheetId="18">#REF!</definedName>
    <definedName name="ASSET2" localSheetId="1">#REF!</definedName>
    <definedName name="ASSET2" localSheetId="0">#REF!</definedName>
    <definedName name="ASSET2">#REF!</definedName>
    <definedName name="ASSET3" localSheetId="18">#REF!</definedName>
    <definedName name="ASSET3" localSheetId="1">#REF!</definedName>
    <definedName name="ASSET3" localSheetId="0">#REF!</definedName>
    <definedName name="ASSET3">#REF!</definedName>
    <definedName name="ASSET4" localSheetId="18">#REF!</definedName>
    <definedName name="ASSET4" localSheetId="1">#REF!</definedName>
    <definedName name="ASSET4" localSheetId="0">#REF!</definedName>
    <definedName name="ASSET4">#REF!</definedName>
    <definedName name="aug" localSheetId="15">#REF!</definedName>
    <definedName name="aug" localSheetId="18">#REF!</definedName>
    <definedName name="aug" localSheetId="1">#REF!</definedName>
    <definedName name="aug" localSheetId="0">#REF!</definedName>
    <definedName name="aug">#REF!</definedName>
    <definedName name="B" localSheetId="15">#REF!</definedName>
    <definedName name="B" localSheetId="18">#REF!</definedName>
    <definedName name="B" localSheetId="1">#REF!</definedName>
    <definedName name="B" localSheetId="0">#REF!</definedName>
    <definedName name="B">#REF!</definedName>
    <definedName name="bahrain">[19]BAHRAIN!$A$14:$F$23</definedName>
    <definedName name="BAHRAIN1">[3]Sheet4!$L$14:$L$105</definedName>
    <definedName name="BAHRAIN2">[3]Sheet4!$Y$14:$Y$105</definedName>
    <definedName name="BalanceSheetDates" localSheetId="18">#REF!</definedName>
    <definedName name="BalanceSheetDates" localSheetId="1">#REF!</definedName>
    <definedName name="BalanceSheetDates" localSheetId="0">#REF!</definedName>
    <definedName name="BalanceSheetDates">#REF!</definedName>
    <definedName name="bela" localSheetId="18">#REF!</definedName>
    <definedName name="bela" localSheetId="1">#REF!</definedName>
    <definedName name="bela" localSheetId="0">#REF!</definedName>
    <definedName name="bela">#REF!</definedName>
    <definedName name="BELOW" localSheetId="15">#REF!</definedName>
    <definedName name="BELOW" localSheetId="18">#REF!</definedName>
    <definedName name="BELOW" localSheetId="1">#REF!</definedName>
    <definedName name="BELOW" localSheetId="0">#REF!</definedName>
    <definedName name="BELOW">#REF!</definedName>
    <definedName name="BG_Del" hidden="1">15</definedName>
    <definedName name="BG_Ins" hidden="1">4</definedName>
    <definedName name="BG_Mod" hidden="1">6</definedName>
    <definedName name="BOOK" localSheetId="18">#REF!</definedName>
    <definedName name="BOOK" localSheetId="1">#REF!</definedName>
    <definedName name="BOOK" localSheetId="0">#REF!</definedName>
    <definedName name="BOOK">#REF!</definedName>
    <definedName name="BOTTOM" localSheetId="18">#REF!</definedName>
    <definedName name="BOTTOM" localSheetId="1">#REF!</definedName>
    <definedName name="BOTTOM" localSheetId="0">#REF!</definedName>
    <definedName name="BOTTOM">#REF!</definedName>
    <definedName name="BS">[20]woRKING!$A$177:$D$346</definedName>
    <definedName name="BSC" localSheetId="15">#REF!</definedName>
    <definedName name="BSC" localSheetId="18">#REF!</definedName>
    <definedName name="BSC" localSheetId="1">#REF!</definedName>
    <definedName name="BSC" localSheetId="0">#REF!</definedName>
    <definedName name="BSC">#REF!</definedName>
    <definedName name="BSCO" localSheetId="15">#REF!</definedName>
    <definedName name="BSCO" localSheetId="18">#REF!</definedName>
    <definedName name="BSCO" localSheetId="1">#REF!</definedName>
    <definedName name="BSCO" localSheetId="0">#REF!</definedName>
    <definedName name="BSCO">#REF!</definedName>
    <definedName name="BSCO1" localSheetId="15">#REF!</definedName>
    <definedName name="BSCO1" localSheetId="18">#REF!</definedName>
    <definedName name="BSCO1" localSheetId="1">#REF!</definedName>
    <definedName name="BSCO1" localSheetId="0">#REF!</definedName>
    <definedName name="BSCO1">#REF!</definedName>
    <definedName name="BSCOMB" localSheetId="18">#REF!</definedName>
    <definedName name="BSCOMB" localSheetId="1">#REF!</definedName>
    <definedName name="BSCOMB" localSheetId="0">#REF!</definedName>
    <definedName name="BSCOMB">#REF!</definedName>
    <definedName name="BSD" localSheetId="15">#REF!</definedName>
    <definedName name="BSD" localSheetId="18">#REF!</definedName>
    <definedName name="BSD" localSheetId="1">#REF!</definedName>
    <definedName name="BSD" localSheetId="0">#REF!</definedName>
    <definedName name="BSD">#REF!</definedName>
    <definedName name="bsdec">'[21]December 06'!$A$93:$D$158</definedName>
    <definedName name="bsdec06" localSheetId="15">#REF!</definedName>
    <definedName name="bsdec06" localSheetId="18">#REF!</definedName>
    <definedName name="bsdec06" localSheetId="1">#REF!</definedName>
    <definedName name="bsdec06" localSheetId="0">#REF!</definedName>
    <definedName name="bsdec06">#REF!</definedName>
    <definedName name="BSH" localSheetId="15">#REF!</definedName>
    <definedName name="BSH" localSheetId="18">#REF!</definedName>
    <definedName name="BSH" localSheetId="1">#REF!</definedName>
    <definedName name="BSH" localSheetId="0">#REF!</definedName>
    <definedName name="BSH">#REF!</definedName>
    <definedName name="bsmarch">[22]MarchSL904!$A$102:$C$191</definedName>
    <definedName name="bsmarch07">'[23]March 110'!$A$84:$C$153</definedName>
    <definedName name="bsn" localSheetId="15">#REF!</definedName>
    <definedName name="bsn" localSheetId="18">#REF!</definedName>
    <definedName name="bsn" localSheetId="1">#REF!</definedName>
    <definedName name="bsn" localSheetId="0">#REF!</definedName>
    <definedName name="bsn">#REF!</definedName>
    <definedName name="BSP" localSheetId="15">#REF!</definedName>
    <definedName name="BSP" localSheetId="18">#REF!</definedName>
    <definedName name="BSP" localSheetId="1">#REF!</definedName>
    <definedName name="BSP" localSheetId="0">#REF!</definedName>
    <definedName name="BSP">#REF!</definedName>
    <definedName name="BSS" localSheetId="15">#REF!</definedName>
    <definedName name="BSS" localSheetId="18">#REF!</definedName>
    <definedName name="BSS" localSheetId="1">#REF!</definedName>
    <definedName name="BSS" localSheetId="0">#REF!</definedName>
    <definedName name="BSS">#REF!</definedName>
    <definedName name="BST" localSheetId="15">#REF!</definedName>
    <definedName name="BST" localSheetId="18">#REF!</definedName>
    <definedName name="BST" localSheetId="1">#REF!</definedName>
    <definedName name="BST" localSheetId="0">#REF!</definedName>
    <definedName name="BST">#REF!</definedName>
    <definedName name="BuiltIn_AutoFilter___2" localSheetId="18">#REF!</definedName>
    <definedName name="BuiltIn_AutoFilter___2" localSheetId="1">#REF!</definedName>
    <definedName name="BuiltIn_AutoFilter___2" localSheetId="0">#REF!</definedName>
    <definedName name="BuiltIn_AutoFilter___2">#REF!</definedName>
    <definedName name="CC" localSheetId="15">'[1]last qrt2001'!#REF!</definedName>
    <definedName name="CC" localSheetId="18">'[1]last qrt2001'!#REF!</definedName>
    <definedName name="CC" localSheetId="1">'[1]last qrt2001'!#REF!</definedName>
    <definedName name="CC" localSheetId="0">'[1]last qrt2001'!#REF!</definedName>
    <definedName name="CC" localSheetId="13">[9]Sheet3!#REF!</definedName>
    <definedName name="CC">'[1]last qrt2001'!#REF!</definedName>
    <definedName name="CH.IN.EQUIT" localSheetId="15">[17]acct!#REF!</definedName>
    <definedName name="CH.IN.EQUIT" localSheetId="18">[17]acct!#REF!</definedName>
    <definedName name="CH.IN.EQUIT" localSheetId="1">[17]acct!#REF!</definedName>
    <definedName name="CH.IN.EQUIT" localSheetId="0">[17]acct!#REF!</definedName>
    <definedName name="CH.IN.EQUIT">[17]acct!#REF!</definedName>
    <definedName name="cHECK" localSheetId="15">[17]acct!#REF!</definedName>
    <definedName name="cHECK" localSheetId="18">[17]acct!#REF!</definedName>
    <definedName name="cHECK" localSheetId="1">[17]acct!#REF!</definedName>
    <definedName name="cHECK" localSheetId="0">[17]acct!#REF!</definedName>
    <definedName name="cHECK">[17]acct!#REF!</definedName>
    <definedName name="chk" localSheetId="15">#REF!</definedName>
    <definedName name="chk" localSheetId="18">#REF!</definedName>
    <definedName name="chk" localSheetId="1">#REF!</definedName>
    <definedName name="chk" localSheetId="0">#REF!</definedName>
    <definedName name="chk">#REF!</definedName>
    <definedName name="Classified" localSheetId="15">#REF!</definedName>
    <definedName name="Classified" localSheetId="18">#REF!</definedName>
    <definedName name="Classified" localSheetId="1">#REF!</definedName>
    <definedName name="Classified" localSheetId="0">#REF!</definedName>
    <definedName name="Classified">#REF!</definedName>
    <definedName name="closing" localSheetId="15">[12]BSDOMOVS!#REF!</definedName>
    <definedName name="closing" localSheetId="18">[12]BSDOMOVS!#REF!</definedName>
    <definedName name="closing" localSheetId="1">[12]BSDOMOVS!#REF!</definedName>
    <definedName name="closing" localSheetId="0">[12]BSDOMOVS!#REF!</definedName>
    <definedName name="closing" localSheetId="13">[12]BSDOMOVS!#REF!</definedName>
    <definedName name="closing">[12]BSDOMOVS!#REF!</definedName>
    <definedName name="ColorNames" localSheetId="18">#REF!</definedName>
    <definedName name="ColorNames" localSheetId="1">#REF!</definedName>
    <definedName name="ColorNames" localSheetId="0">#REF!</definedName>
    <definedName name="ColorNames" localSheetId="13">#REF!</definedName>
    <definedName name="ColorNames">#REF!</definedName>
    <definedName name="Commentary" localSheetId="15">#REF!</definedName>
    <definedName name="Commentary" localSheetId="18">#REF!</definedName>
    <definedName name="Commentary" localSheetId="1">#REF!</definedName>
    <definedName name="Commentary" localSheetId="0">#REF!</definedName>
    <definedName name="Commentary">#REF!</definedName>
    <definedName name="cons" localSheetId="6" hidden="1">{"'CALL MONEY'!$K$53"}</definedName>
    <definedName name="cons" localSheetId="13" hidden="1">{"'CALL MONEY'!$K$53"}</definedName>
    <definedName name="cons" localSheetId="9" hidden="1">{"'CALL MONEY'!$K$53"}</definedName>
    <definedName name="cons" hidden="1">{"'CALL MONEY'!$K$53"}</definedName>
    <definedName name="Conventions" localSheetId="18">#REF!</definedName>
    <definedName name="Conventions" localSheetId="1">#REF!</definedName>
    <definedName name="Conventions" localSheetId="0">#REF!</definedName>
    <definedName name="Conventions">#REF!</definedName>
    <definedName name="Copy" localSheetId="6" hidden="1">{"'CALL MONEY'!$K$53"}</definedName>
    <definedName name="Copy" localSheetId="13" hidden="1">{"'CALL MONEY'!$K$53"}</definedName>
    <definedName name="Copy" localSheetId="9" hidden="1">{"'CALL MONEY'!$K$53"}</definedName>
    <definedName name="Copy" hidden="1">{"'CALL MONEY'!$K$53"}</definedName>
    <definedName name="CRED" localSheetId="15">[17]acct!#REF!</definedName>
    <definedName name="CRED" localSheetId="18">[17]acct!#REF!</definedName>
    <definedName name="CRED" localSheetId="1">[17]acct!#REF!</definedName>
    <definedName name="CRED" localSheetId="0">[17]acct!#REF!</definedName>
    <definedName name="CRED">[17]acct!#REF!</definedName>
    <definedName name="Currency" localSheetId="18">#REF!</definedName>
    <definedName name="Currency" localSheetId="1">#REF!</definedName>
    <definedName name="Currency" localSheetId="0">#REF!</definedName>
    <definedName name="Currency" localSheetId="13">#REF!</definedName>
    <definedName name="Currency">#REF!</definedName>
    <definedName name="d" localSheetId="15">#REF!</definedName>
    <definedName name="d" localSheetId="18">#REF!</definedName>
    <definedName name="d" localSheetId="1">#REF!</definedName>
    <definedName name="d" localSheetId="0">#REF!</definedName>
    <definedName name="d">#REF!</definedName>
    <definedName name="da" localSheetId="18">#REF!</definedName>
    <definedName name="da" localSheetId="1">#REF!</definedName>
    <definedName name="da" localSheetId="0">#REF!</definedName>
    <definedName name="da">#REF!</definedName>
    <definedName name="Dbase" localSheetId="15">#REF!</definedName>
    <definedName name="Dbase" localSheetId="18">#REF!</definedName>
    <definedName name="Dbase" localSheetId="1">#REF!</definedName>
    <definedName name="Dbase" localSheetId="0">#REF!</definedName>
    <definedName name="Dbase">#REF!</definedName>
    <definedName name="DD" localSheetId="15">'[1]last qrt2001'!#REF!</definedName>
    <definedName name="DD" localSheetId="18">'[1]last qrt2001'!#REF!</definedName>
    <definedName name="DD" localSheetId="1">'[1]last qrt2001'!#REF!</definedName>
    <definedName name="DD" localSheetId="0">'[1]last qrt2001'!#REF!</definedName>
    <definedName name="DD" localSheetId="13">'[1]last qrt2001'!#REF!</definedName>
    <definedName name="DD">'[1]last qrt2001'!#REF!</definedName>
    <definedName name="dddd" localSheetId="15">'[24]BS-OVS'!#REF!</definedName>
    <definedName name="dddd" localSheetId="18">'[24]BS-OVS'!#REF!</definedName>
    <definedName name="dddd" localSheetId="1">'[24]BS-OVS'!#REF!</definedName>
    <definedName name="dddd" localSheetId="0">'[24]BS-OVS'!#REF!</definedName>
    <definedName name="dddd">'[24]BS-OVS'!#REF!</definedName>
    <definedName name="dEFF.LIA" localSheetId="15">[17]acct!#REF!</definedName>
    <definedName name="dEFF.LIA" localSheetId="18">[17]acct!#REF!</definedName>
    <definedName name="dEFF.LIA" localSheetId="1">[17]acct!#REF!</definedName>
    <definedName name="dEFF.LIA" localSheetId="0">[17]acct!#REF!</definedName>
    <definedName name="dEFF.LIA">[17]acct!#REF!</definedName>
    <definedName name="Description" localSheetId="15">#REF!</definedName>
    <definedName name="Description" localSheetId="18">#REF!</definedName>
    <definedName name="Description" localSheetId="1">#REF!</definedName>
    <definedName name="Description" localSheetId="0">#REF!</definedName>
    <definedName name="Description">#REF!</definedName>
    <definedName name="dfaf" localSheetId="18">#REF!</definedName>
    <definedName name="dfaf" localSheetId="1">#REF!</definedName>
    <definedName name="dfaf" localSheetId="0">#REF!</definedName>
    <definedName name="dfaf">#REF!</definedName>
    <definedName name="DFD" localSheetId="15">'[25]Abu Dhabi'!#REF!</definedName>
    <definedName name="DFD" localSheetId="18">'[25]Abu Dhabi'!#REF!</definedName>
    <definedName name="DFD" localSheetId="1">'[25]Abu Dhabi'!#REF!</definedName>
    <definedName name="DFD" localSheetId="0">'[25]Abu Dhabi'!#REF!</definedName>
    <definedName name="DFD" localSheetId="13">'[25]Abu Dhabi'!#REF!</definedName>
    <definedName name="DFD">'[25]Abu Dhabi'!#REF!</definedName>
    <definedName name="Differences" localSheetId="18">#REF!</definedName>
    <definedName name="Differences" localSheetId="1">#REF!</definedName>
    <definedName name="Differences" localSheetId="0">#REF!</definedName>
    <definedName name="Differences" localSheetId="13">#REF!</definedName>
    <definedName name="Differences">#REF!</definedName>
    <definedName name="Differnces" localSheetId="15">'[26]Notes1-5'!#REF!</definedName>
    <definedName name="Differnces" localSheetId="18">'[26]Notes1-5'!#REF!</definedName>
    <definedName name="Differnces" localSheetId="1">'[26]Notes1-5'!#REF!</definedName>
    <definedName name="Differnces" localSheetId="0">'[26]Notes1-5'!#REF!</definedName>
    <definedName name="Differnces" localSheetId="13">'[26]Notes1-5'!#REF!</definedName>
    <definedName name="Differnces">'[26]Notes1-5'!#REF!</definedName>
    <definedName name="doha">'[19]DOHA QATAR '!$A$14:$P$33</definedName>
    <definedName name="dom" localSheetId="15">#REF!</definedName>
    <definedName name="dom" localSheetId="18">#REF!</definedName>
    <definedName name="dom" localSheetId="1">#REF!</definedName>
    <definedName name="dom" localSheetId="0">#REF!</definedName>
    <definedName name="dom">#REF!</definedName>
    <definedName name="dombs" localSheetId="15">#REF!</definedName>
    <definedName name="dombs" localSheetId="18">#REF!</definedName>
    <definedName name="dombs" localSheetId="1">#REF!</definedName>
    <definedName name="dombs" localSheetId="0">#REF!</definedName>
    <definedName name="dombs">#REF!</definedName>
    <definedName name="DOMOVS" localSheetId="18">#REF!</definedName>
    <definedName name="DOMOVS" localSheetId="1">#REF!</definedName>
    <definedName name="DOMOVS" localSheetId="0">#REF!</definedName>
    <definedName name="DOMOVS">#REF!</definedName>
    <definedName name="dr" localSheetId="18">#REF!</definedName>
    <definedName name="dr" localSheetId="1">#REF!</definedName>
    <definedName name="dr" localSheetId="0">#REF!</definedName>
    <definedName name="dr">#REF!</definedName>
    <definedName name="dx" localSheetId="15">#REF!</definedName>
    <definedName name="dx" localSheetId="18">#REF!</definedName>
    <definedName name="dx" localSheetId="1">#REF!</definedName>
    <definedName name="dx" localSheetId="0">#REF!</definedName>
    <definedName name="dx">#REF!</definedName>
    <definedName name="E" localSheetId="18">#REF!</definedName>
    <definedName name="E" localSheetId="1">#REF!</definedName>
    <definedName name="E" localSheetId="0">#REF!</definedName>
    <definedName name="E">#REF!</definedName>
    <definedName name="EPAGE1" localSheetId="18">#REF!</definedName>
    <definedName name="EPAGE1" localSheetId="1">#REF!</definedName>
    <definedName name="EPAGE1" localSheetId="0">#REF!</definedName>
    <definedName name="EPAGE1">#REF!</definedName>
    <definedName name="EXP" localSheetId="15">'[1]last qrt2001'!#REF!</definedName>
    <definedName name="EXP" localSheetId="18">'[1]last qrt2001'!#REF!</definedName>
    <definedName name="EXP" localSheetId="1">'[1]last qrt2001'!#REF!</definedName>
    <definedName name="EXP" localSheetId="0">'[1]last qrt2001'!#REF!</definedName>
    <definedName name="EXP" localSheetId="13">#REF!</definedName>
    <definedName name="EXP">'[1]last qrt2001'!#REF!</definedName>
    <definedName name="F" localSheetId="15">'[27]FINANCE CODE'!#REF!</definedName>
    <definedName name="F" localSheetId="18">'[27]FINANCE CODE'!#REF!</definedName>
    <definedName name="F" localSheetId="1">'[27]FINANCE CODE'!#REF!</definedName>
    <definedName name="F" localSheetId="0">'[27]FINANCE CODE'!#REF!</definedName>
    <definedName name="F" localSheetId="13">'[27]FINANCE CODE'!#REF!</definedName>
    <definedName name="F">'[27]FINANCE CODE'!#REF!</definedName>
    <definedName name="f_name">'[28]A-C CODE &amp; NAME'!$B$1:$C$193</definedName>
    <definedName name="FA" localSheetId="15">[17]acct!#REF!</definedName>
    <definedName name="FA" localSheetId="18">[17]acct!#REF!</definedName>
    <definedName name="FA" localSheetId="1">[17]acct!#REF!</definedName>
    <definedName name="FA" localSheetId="0">[17]acct!#REF!</definedName>
    <definedName name="FA" localSheetId="13">[17]acct!#REF!</definedName>
    <definedName name="FA">[17]acct!#REF!</definedName>
    <definedName name="Fcy" localSheetId="15">#REF!</definedName>
    <definedName name="Fcy" localSheetId="18">#REF!</definedName>
    <definedName name="Fcy" localSheetId="1">#REF!</definedName>
    <definedName name="Fcy" localSheetId="0">#REF!</definedName>
    <definedName name="Fcy">#REF!</definedName>
    <definedName name="FDE" localSheetId="15">'[29]Notes1-5'!#REF!</definedName>
    <definedName name="FDE" localSheetId="18">'[29]Notes1-5'!#REF!</definedName>
    <definedName name="FDE" localSheetId="1">'[29]Notes1-5'!#REF!</definedName>
    <definedName name="FDE" localSheetId="0">'[29]Notes1-5'!#REF!</definedName>
    <definedName name="FDE" localSheetId="13">'[29]Notes1-5'!#REF!</definedName>
    <definedName name="FDE">'[29]Notes1-5'!#REF!</definedName>
    <definedName name="FinancialGraphs" localSheetId="15">#REF!</definedName>
    <definedName name="FinancialGraphs" localSheetId="18">#REF!</definedName>
    <definedName name="FinancialGraphs" localSheetId="1">#REF!</definedName>
    <definedName name="FinancialGraphs" localSheetId="0">#REF!</definedName>
    <definedName name="FinancialGraphs" localSheetId="13">#REF!</definedName>
    <definedName name="FinancialGraphs">#REF!</definedName>
    <definedName name="FINASSET" localSheetId="15">[17]acct!#REF!</definedName>
    <definedName name="FINASSET" localSheetId="18">[17]acct!#REF!</definedName>
    <definedName name="FINASSET" localSheetId="1">[17]acct!#REF!</definedName>
    <definedName name="FINASSET" localSheetId="0">[17]acct!#REF!</definedName>
    <definedName name="FINASSET" localSheetId="13">[17]acct!#REF!</definedName>
    <definedName name="FINASSET">[17]acct!#REF!</definedName>
    <definedName name="flegtcher123" hidden="1">{"'CALL MONEY'!$K$53"}</definedName>
    <definedName name="fletcher" hidden="1">{"'CALL MONEY'!$K$53"}</definedName>
    <definedName name="Foreign" localSheetId="15">#REF!</definedName>
    <definedName name="Foreign" localSheetId="18">#REF!</definedName>
    <definedName name="Foreign" localSheetId="1">#REF!</definedName>
    <definedName name="Foreign" localSheetId="0">#REF!</definedName>
    <definedName name="Foreign">#REF!</definedName>
    <definedName name="FORM" localSheetId="15">#REF!</definedName>
    <definedName name="FORM" localSheetId="18">#REF!</definedName>
    <definedName name="FORM" localSheetId="1">#REF!</definedName>
    <definedName name="FORM" localSheetId="0">#REF!</definedName>
    <definedName name="FORM">#REF!</definedName>
    <definedName name="FP_EU_0206__00246_04" localSheetId="15">#REF!</definedName>
    <definedName name="FP_EU_0206__00246_04" localSheetId="18">#REF!</definedName>
    <definedName name="FP_EU_0206__00246_04" localSheetId="1">#REF!</definedName>
    <definedName name="FP_EU_0206__00246_04" localSheetId="0">#REF!</definedName>
    <definedName name="FP_EU_0206__00246_04">#REF!</definedName>
    <definedName name="FSA" localSheetId="18">#REF!</definedName>
    <definedName name="FSA" localSheetId="1">#REF!</definedName>
    <definedName name="FSA" localSheetId="0">#REF!</definedName>
    <definedName name="FSA">#REF!</definedName>
    <definedName name="G" localSheetId="18">#REF!</definedName>
    <definedName name="G" localSheetId="1">#REF!</definedName>
    <definedName name="G" localSheetId="0">#REF!</definedName>
    <definedName name="G">#REF!</definedName>
    <definedName name="g54." localSheetId="15">#REF!</definedName>
    <definedName name="g54." localSheetId="18">#REF!</definedName>
    <definedName name="g54." localSheetId="1">#REF!</definedName>
    <definedName name="g54." localSheetId="0">#REF!</definedName>
    <definedName name="g54.">#REF!</definedName>
    <definedName name="Hamid" localSheetId="18">#REF!</definedName>
    <definedName name="Hamid" localSheetId="1">#REF!</definedName>
    <definedName name="Hamid" localSheetId="0">#REF!</definedName>
    <definedName name="Hamid">#REF!</definedName>
    <definedName name="hh" localSheetId="6" hidden="1">{"'CALL MONEY'!$K$53"}</definedName>
    <definedName name="hh" localSheetId="13" hidden="1">{"'CALL MONEY'!$K$53"}</definedName>
    <definedName name="hh" localSheetId="9" hidden="1">{"'CALL MONEY'!$K$53"}</definedName>
    <definedName name="hh" hidden="1">{"'CALL MONEY'!$K$53"}</definedName>
    <definedName name="html" localSheetId="6" hidden="1">{"'CALL MONEY'!$K$53"}</definedName>
    <definedName name="html" localSheetId="13" hidden="1">{"'CALL MONEY'!$K$53"}</definedName>
    <definedName name="html" localSheetId="9" hidden="1">{"'CALL MONEY'!$K$53"}</definedName>
    <definedName name="html" hidden="1">{"'CALL MONEY'!$K$53"}</definedName>
    <definedName name="html_cntrl" localSheetId="6" hidden="1">{"'CALL MONEY'!$K$53"}</definedName>
    <definedName name="html_cntrl" localSheetId="13" hidden="1">{"'CALL MONEY'!$K$53"}</definedName>
    <definedName name="html_cntrl" localSheetId="9" hidden="1">{"'CALL MONEY'!$K$53"}</definedName>
    <definedName name="html_cntrl" hidden="1">{"'CALL MONEY'!$K$53"}</definedName>
    <definedName name="html_cntrl465454" localSheetId="6" hidden="1">{"'CALL MONEY'!$K$53"}</definedName>
    <definedName name="html_cntrl465454" localSheetId="13" hidden="1">{"'CALL MONEY'!$K$53"}</definedName>
    <definedName name="html_cntrl465454" localSheetId="9" hidden="1">{"'CALL MONEY'!$K$53"}</definedName>
    <definedName name="html_cntrl465454" hidden="1">{"'CALL MONEY'!$K$53"}</definedName>
    <definedName name="HTML_CodePage" hidden="1">1252</definedName>
    <definedName name="HTML_Control" localSheetId="6" hidden="1">{"'CALL MONEY'!$K$53"}</definedName>
    <definedName name="HTML_Control" localSheetId="13" hidden="1">{"'CALL MONEY'!$K$53"}</definedName>
    <definedName name="HTML_Control" localSheetId="9" hidden="1">{"'CALL MONEY'!$K$53"}</definedName>
    <definedName name="HTML_Control" hidden="1">{"'CALL MONEY'!$K$53"}</definedName>
    <definedName name="html_ctl78" localSheetId="6" hidden="1">{"'CALL MONEY'!$K$53"}</definedName>
    <definedName name="html_ctl78" localSheetId="13" hidden="1">{"'CALL MONEY'!$K$53"}</definedName>
    <definedName name="html_ctl78" localSheetId="9"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8">#REF!</definedName>
    <definedName name="I" localSheetId="1">#REF!</definedName>
    <definedName name="I" localSheetId="0">#REF!</definedName>
    <definedName name="I" localSheetId="13">#REF!</definedName>
    <definedName name="I">#REF!</definedName>
    <definedName name="IDFUIU" localSheetId="18">#REF!</definedName>
    <definedName name="IDFUIU" localSheetId="1">#REF!</definedName>
    <definedName name="IDFUIU" localSheetId="0">#REF!</definedName>
    <definedName name="IDFUIU">#REF!</definedName>
    <definedName name="IEC" localSheetId="15">#REF!</definedName>
    <definedName name="IEC" localSheetId="18">#REF!</definedName>
    <definedName name="IEC" localSheetId="1">#REF!</definedName>
    <definedName name="IEC" localSheetId="0">#REF!</definedName>
    <definedName name="IEC">#REF!</definedName>
    <definedName name="IECO" localSheetId="15">#REF!</definedName>
    <definedName name="IECO" localSheetId="18">#REF!</definedName>
    <definedName name="IECO" localSheetId="1">#REF!</definedName>
    <definedName name="IECO" localSheetId="0">#REF!</definedName>
    <definedName name="IECO">#REF!</definedName>
    <definedName name="IECO1" localSheetId="15">#REF!</definedName>
    <definedName name="IECO1" localSheetId="18">#REF!</definedName>
    <definedName name="IECO1" localSheetId="1">#REF!</definedName>
    <definedName name="IECO1" localSheetId="0">#REF!</definedName>
    <definedName name="IECO1">#REF!</definedName>
    <definedName name="IED" localSheetId="15">#REF!</definedName>
    <definedName name="IED" localSheetId="18">#REF!</definedName>
    <definedName name="IED" localSheetId="1">#REF!</definedName>
    <definedName name="IED" localSheetId="0">#REF!</definedName>
    <definedName name="IED">#REF!</definedName>
    <definedName name="IEH" localSheetId="15">#REF!</definedName>
    <definedName name="IEH" localSheetId="18">#REF!</definedName>
    <definedName name="IEH" localSheetId="1">#REF!</definedName>
    <definedName name="IEH" localSheetId="0">#REF!</definedName>
    <definedName name="IEH">#REF!</definedName>
    <definedName name="IEP" localSheetId="15">#REF!</definedName>
    <definedName name="IEP" localSheetId="18">#REF!</definedName>
    <definedName name="IEP" localSheetId="1">#REF!</definedName>
    <definedName name="IEP" localSheetId="0">#REF!</definedName>
    <definedName name="IEP">#REF!</definedName>
    <definedName name="IES" localSheetId="15">#REF!</definedName>
    <definedName name="IES" localSheetId="18">#REF!</definedName>
    <definedName name="IES" localSheetId="1">#REF!</definedName>
    <definedName name="IES" localSheetId="0">#REF!</definedName>
    <definedName name="IES">#REF!</definedName>
    <definedName name="IET" localSheetId="15">#REF!</definedName>
    <definedName name="IET" localSheetId="18">#REF!</definedName>
    <definedName name="IET" localSheetId="1">#REF!</definedName>
    <definedName name="IET" localSheetId="0">#REF!</definedName>
    <definedName name="IET">#REF!</definedName>
    <definedName name="INC" localSheetId="15">'[1]last qrt2001'!#REF!</definedName>
    <definedName name="INC" localSheetId="18">'[1]last qrt2001'!#REF!</definedName>
    <definedName name="INC" localSheetId="1">'[1]last qrt2001'!#REF!</definedName>
    <definedName name="INC" localSheetId="0">'[1]last qrt2001'!#REF!</definedName>
    <definedName name="INC" localSheetId="13">#REF!</definedName>
    <definedName name="INC">'[1]last qrt2001'!#REF!</definedName>
    <definedName name="IncomeStatementDates" localSheetId="18">#REF!</definedName>
    <definedName name="IncomeStatementDates" localSheetId="1">#REF!</definedName>
    <definedName name="IncomeStatementDates" localSheetId="0">#REF!</definedName>
    <definedName name="IncomeStatementDates" localSheetId="13">#REF!</definedName>
    <definedName name="IncomeStatementDates">#REF!</definedName>
    <definedName name="INVEST" localSheetId="15">[17]acct!#REF!</definedName>
    <definedName name="INVEST" localSheetId="18">[17]acct!#REF!</definedName>
    <definedName name="INVEST" localSheetId="1">[17]acct!#REF!</definedName>
    <definedName name="INVEST" localSheetId="0">[17]acct!#REF!</definedName>
    <definedName name="INVEST" localSheetId="13">[17]acct!#REF!</definedName>
    <definedName name="INVEST">[17]acct!#REF!</definedName>
    <definedName name="IPAGE1" localSheetId="18">#REF!</definedName>
    <definedName name="IPAGE1" localSheetId="1">#REF!</definedName>
    <definedName name="IPAGE1" localSheetId="0">#REF!</definedName>
    <definedName name="IPAGE1" localSheetId="13">#REF!</definedName>
    <definedName name="IPAGE1">#REF!</definedName>
    <definedName name="iqbal" localSheetId="15">[30]Sheet2!#REF!</definedName>
    <definedName name="iqbal" localSheetId="18">[30]Sheet2!#REF!</definedName>
    <definedName name="iqbal" localSheetId="1">[30]Sheet2!#REF!</definedName>
    <definedName name="iqbal" localSheetId="0">[30]Sheet2!#REF!</definedName>
    <definedName name="iqbal" localSheetId="13">[30]Sheet2!#REF!</definedName>
    <definedName name="iqbal">[30]Sheet2!#REF!</definedName>
    <definedName name="iu" localSheetId="15">#REF!</definedName>
    <definedName name="iu" localSheetId="18">#REF!</definedName>
    <definedName name="iu" localSheetId="1">#REF!</definedName>
    <definedName name="iu" localSheetId="0">#REF!</definedName>
    <definedName name="iu">#REF!</definedName>
    <definedName name="J" localSheetId="18">#REF!</definedName>
    <definedName name="J" localSheetId="1">#REF!</definedName>
    <definedName name="J" localSheetId="0">#REF!</definedName>
    <definedName name="J">#REF!</definedName>
    <definedName name="kauser" localSheetId="15">#REF!</definedName>
    <definedName name="kauser" localSheetId="18">#REF!</definedName>
    <definedName name="kauser" localSheetId="1">#REF!</definedName>
    <definedName name="kauser" localSheetId="0">#REF!</definedName>
    <definedName name="kauser">#REF!</definedName>
    <definedName name="L" localSheetId="18">#REF!</definedName>
    <definedName name="L" localSheetId="1">#REF!</definedName>
    <definedName name="L" localSheetId="0">#REF!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IAB1" localSheetId="18">#REF!</definedName>
    <definedName name="LIAB1" localSheetId="1">#REF!</definedName>
    <definedName name="LIAB1" localSheetId="0">#REF!</definedName>
    <definedName name="LIAB1" localSheetId="13">#REF!</definedName>
    <definedName name="LIAB1">#REF!</definedName>
    <definedName name="LIAB2" localSheetId="18">#REF!</definedName>
    <definedName name="LIAB2" localSheetId="1">#REF!</definedName>
    <definedName name="LIAB2" localSheetId="0">#REF!</definedName>
    <definedName name="LIAB2">#REF!</definedName>
    <definedName name="LIAB3" localSheetId="18">#REF!</definedName>
    <definedName name="LIAB3" localSheetId="1">#REF!</definedName>
    <definedName name="LIAB3" localSheetId="0">#REF!</definedName>
    <definedName name="LIAB3">#REF!</definedName>
    <definedName name="LIAB4" localSheetId="18">#REF!</definedName>
    <definedName name="LIAB4" localSheetId="1">#REF!</definedName>
    <definedName name="LIAB4" localSheetId="0">#REF!</definedName>
    <definedName name="LIAB4">#REF!</definedName>
    <definedName name="LIBAST" localSheetId="18">#REF!</definedName>
    <definedName name="LIBAST" localSheetId="1">#REF!</definedName>
    <definedName name="LIBAST" localSheetId="0">#REF!</definedName>
    <definedName name="LIBAST">#REF!</definedName>
    <definedName name="lkup">[31]Ranges!$B$3:$C$12</definedName>
    <definedName name="LOANS" localSheetId="15">[17]acct!#REF!</definedName>
    <definedName name="LOANS" localSheetId="18">[17]acct!#REF!</definedName>
    <definedName name="LOANS" localSheetId="1">[17]acct!#REF!</definedName>
    <definedName name="LOANS" localSheetId="0">[17]acct!#REF!</definedName>
    <definedName name="LOANS" localSheetId="13">[17]acct!#REF!</definedName>
    <definedName name="LOANS">[17]acct!#REF!</definedName>
    <definedName name="longterm" localSheetId="15">#REF!</definedName>
    <definedName name="longterm" localSheetId="18">#REF!</definedName>
    <definedName name="longterm" localSheetId="1">#REF!</definedName>
    <definedName name="longterm" localSheetId="0">#REF!</definedName>
    <definedName name="longterm">#REF!</definedName>
    <definedName name="LPAGE1" localSheetId="18">#REF!</definedName>
    <definedName name="LPAGE1" localSheetId="1">#REF!</definedName>
    <definedName name="LPAGE1" localSheetId="0">#REF!</definedName>
    <definedName name="LPAGE1">#REF!</definedName>
    <definedName name="LPAGE2" localSheetId="18">#REF!</definedName>
    <definedName name="LPAGE2" localSheetId="1">#REF!</definedName>
    <definedName name="LPAGE2" localSheetId="0">#REF!</definedName>
    <definedName name="LPAGE2">#REF!</definedName>
    <definedName name="LPAGE3" localSheetId="18">#REF!</definedName>
    <definedName name="LPAGE3" localSheetId="1">#REF!</definedName>
    <definedName name="LPAGE3" localSheetId="0">#REF!</definedName>
    <definedName name="LPAGE3">#REF!</definedName>
    <definedName name="LPAGE4" localSheetId="18">#REF!</definedName>
    <definedName name="LPAGE4" localSheetId="1">#REF!</definedName>
    <definedName name="LPAGE4" localSheetId="0">#REF!</definedName>
    <definedName name="LPAGE4">#REF!</definedName>
    <definedName name="M" localSheetId="18">#REF!</definedName>
    <definedName name="M" localSheetId="1">#REF!</definedName>
    <definedName name="M" localSheetId="0">#REF!</definedName>
    <definedName name="M">#REF!</definedName>
    <definedName name="main" localSheetId="18">#REF!</definedName>
    <definedName name="main" localSheetId="1">#REF!</definedName>
    <definedName name="main" localSheetId="0">#REF!</definedName>
    <definedName name="main">#REF!</definedName>
    <definedName name="MANAMABS" localSheetId="15">#REF!</definedName>
    <definedName name="MANAMABS" localSheetId="18">#REF!</definedName>
    <definedName name="MANAMABS" localSheetId="1">#REF!</definedName>
    <definedName name="MANAMABS" localSheetId="0">#REF!</definedName>
    <definedName name="MANAMABS">#REF!</definedName>
    <definedName name="manamabs0207">[32]Sheet3!$A$157:$C$321</definedName>
    <definedName name="Manamapl" localSheetId="15">#REF!</definedName>
    <definedName name="Manamapl" localSheetId="18">#REF!</definedName>
    <definedName name="Manamapl" localSheetId="1">#REF!</definedName>
    <definedName name="Manamapl" localSheetId="0">#REF!</definedName>
    <definedName name="Manamapl">#REF!</definedName>
    <definedName name="manamapl0207">[32]Sheet3!$A$5:$C$153</definedName>
    <definedName name="Manamapl5" localSheetId="15">#REF!</definedName>
    <definedName name="Manamapl5" localSheetId="18">#REF!</definedName>
    <definedName name="Manamapl5" localSheetId="1">#REF!</definedName>
    <definedName name="Manamapl5" localSheetId="0">#REF!</definedName>
    <definedName name="Manamapl5">#REF!</definedName>
    <definedName name="masroor" localSheetId="15">#REF!</definedName>
    <definedName name="masroor" localSheetId="18">#REF!</definedName>
    <definedName name="masroor" localSheetId="1">#REF!</definedName>
    <definedName name="masroor" localSheetId="0">#REF!</definedName>
    <definedName name="masroor">#REF!</definedName>
    <definedName name="MAZ" localSheetId="15">'[33]T-BILL'!#REF!</definedName>
    <definedName name="MAZ" localSheetId="18">'[33]T-BILL'!#REF!</definedName>
    <definedName name="MAZ" localSheetId="1">'[33]T-BILL'!#REF!</definedName>
    <definedName name="MAZ" localSheetId="0">'[33]T-BILL'!#REF!</definedName>
    <definedName name="MAZ" localSheetId="13">'[33]T-BILL'!#REF!</definedName>
    <definedName name="MAZ">'[33]T-BILL'!#REF!</definedName>
    <definedName name="MLNTREGISTER" localSheetId="18">#REF!</definedName>
    <definedName name="MLNTREGISTER" localSheetId="1">#REF!</definedName>
    <definedName name="MLNTREGISTER" localSheetId="0">#REF!</definedName>
    <definedName name="MLNTREGISTER" localSheetId="13">#REF!</definedName>
    <definedName name="MLNTREGISTER">#REF!</definedName>
    <definedName name="MR">'[34]Market Rates'!$B$1:$G$65536</definedName>
    <definedName name="N" localSheetId="18">#REF!</definedName>
    <definedName name="N" localSheetId="1">#REF!</definedName>
    <definedName name="N" localSheetId="0">#REF!</definedName>
    <definedName name="N" localSheetId="13">#REF!</definedName>
    <definedName name="N">#REF!</definedName>
    <definedName name="NEW">'[35]Implied Rate'!$B$49:$BC$408</definedName>
    <definedName name="note" localSheetId="13" hidden="1">{"'CALL MONEY'!$K$53"}</definedName>
    <definedName name="note" hidden="1">{"'CALL MONEY'!$K$53"}</definedName>
    <definedName name="Note55" localSheetId="15">'[36]BS-OVS'!#REF!</definedName>
    <definedName name="Note55" localSheetId="18">'[36]BS-OVS'!#REF!</definedName>
    <definedName name="Note55" localSheetId="1">'[36]BS-OVS'!#REF!</definedName>
    <definedName name="Note55" localSheetId="0">'[36]BS-OVS'!#REF!</definedName>
    <definedName name="Note55" localSheetId="13">'[36]BS-OVS'!#REF!</definedName>
    <definedName name="Note55">'[36]BS-OVS'!#REF!</definedName>
    <definedName name="Note58" localSheetId="15">'[24]BS-OVS'!#REF!</definedName>
    <definedName name="Note58" localSheetId="18">'[24]BS-OVS'!#REF!</definedName>
    <definedName name="Note58" localSheetId="1">'[24]BS-OVS'!#REF!</definedName>
    <definedName name="Note58" localSheetId="0">'[24]BS-OVS'!#REF!</definedName>
    <definedName name="Note58">'[24]BS-OVS'!#REF!</definedName>
    <definedName name="npl" localSheetId="18">#REF!</definedName>
    <definedName name="npl" localSheetId="1">#REF!</definedName>
    <definedName name="npl" localSheetId="0">#REF!</definedName>
    <definedName name="npl" localSheetId="13">#REF!</definedName>
    <definedName name="npl">#REF!</definedName>
    <definedName name="nplsum" localSheetId="18">#REF!</definedName>
    <definedName name="nplsum" localSheetId="1">#REF!</definedName>
    <definedName name="nplsum" localSheetId="0">#REF!</definedName>
    <definedName name="nplsum">#REF!</definedName>
    <definedName name="O" localSheetId="18">#REF!</definedName>
    <definedName name="O" localSheetId="1">#REF!</definedName>
    <definedName name="O" localSheetId="0">#REF!</definedName>
    <definedName name="O" localSheetId="13">#REF!</definedName>
    <definedName name="O">#REF!</definedName>
    <definedName name="os" localSheetId="15">#REF!</definedName>
    <definedName name="os" localSheetId="18">#REF!</definedName>
    <definedName name="os" localSheetId="1">#REF!</definedName>
    <definedName name="os" localSheetId="0">#REF!</definedName>
    <definedName name="os">#REF!</definedName>
    <definedName name="OSAL" localSheetId="18">#REF!</definedName>
    <definedName name="OSAL" localSheetId="1">#REF!</definedName>
    <definedName name="OSAL" localSheetId="0">#REF!</definedName>
    <definedName name="OSAL">#REF!</definedName>
    <definedName name="osbs" localSheetId="15">#REF!</definedName>
    <definedName name="osbs" localSheetId="18">#REF!</definedName>
    <definedName name="osbs" localSheetId="1">#REF!</definedName>
    <definedName name="osbs" localSheetId="0">#REF!</definedName>
    <definedName name="osbs">#REF!</definedName>
    <definedName name="OVER" localSheetId="15">#REF!</definedName>
    <definedName name="OVER" localSheetId="18">#REF!</definedName>
    <definedName name="OVER" localSheetId="1">#REF!</definedName>
    <definedName name="OVER" localSheetId="0">#REF!</definedName>
    <definedName name="OVER">#REF!</definedName>
    <definedName name="P" localSheetId="18">#REF!</definedName>
    <definedName name="P" localSheetId="1">#REF!</definedName>
    <definedName name="P" localSheetId="0">#REF!</definedName>
    <definedName name="P">#REF!</definedName>
    <definedName name="PAGE2" localSheetId="18">#REF!</definedName>
    <definedName name="PAGE2" localSheetId="1">#REF!</definedName>
    <definedName name="PAGE2" localSheetId="0">#REF!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5">#REF!</definedName>
    <definedName name="pld" localSheetId="18">#REF!</definedName>
    <definedName name="pld" localSheetId="1">#REF!</definedName>
    <definedName name="pld" localSheetId="0">#REF!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5">#REF!</definedName>
    <definedName name="pln" localSheetId="18">#REF!</definedName>
    <definedName name="pln" localSheetId="1">#REF!</definedName>
    <definedName name="pln" localSheetId="0">#REF!</definedName>
    <definedName name="pln">#REF!</definedName>
    <definedName name="plnov" localSheetId="15">#REF!</definedName>
    <definedName name="plnov" localSheetId="18">#REF!</definedName>
    <definedName name="plnov" localSheetId="1">#REF!</definedName>
    <definedName name="plnov" localSheetId="0">#REF!</definedName>
    <definedName name="plnov">#REF!</definedName>
    <definedName name="plnov06">'[21]November 06'!$A$5:$D$87</definedName>
    <definedName name="plw" localSheetId="18">#REF!</definedName>
    <definedName name="plw" localSheetId="1">#REF!</definedName>
    <definedName name="plw" localSheetId="0">#REF!</definedName>
    <definedName name="plw">#REF!</definedName>
    <definedName name="po" localSheetId="15">[39]BSDOMOVS!#REF!</definedName>
    <definedName name="po" localSheetId="18">[39]BSDOMOVS!#REF!</definedName>
    <definedName name="po" localSheetId="1">[39]BSDOMOVS!#REF!</definedName>
    <definedName name="po" localSheetId="0">[39]BSDOMOVS!#REF!</definedName>
    <definedName name="po" localSheetId="13">[39]BSDOMOVS!#REF!</definedName>
    <definedName name="po">[39]BSDOMOVS!#REF!</definedName>
    <definedName name="PP" localSheetId="18">#REF!</definedName>
    <definedName name="PP" localSheetId="1">#REF!</definedName>
    <definedName name="PP" localSheetId="0">#REF!</definedName>
    <definedName name="PP" localSheetId="13">#REF!</definedName>
    <definedName name="PP">#REF!</definedName>
    <definedName name="_xlnm.Print_Area" localSheetId="15">'1'!$A$1:$S$80</definedName>
    <definedName name="_xlnm.Print_Area" localSheetId="17">'2'!$A$1:$T$59</definedName>
    <definedName name="_xlnm.Print_Area" localSheetId="18">'3'!$A$1:$T$113</definedName>
    <definedName name="_xlnm.Print_Area" localSheetId="3">BS!$A$1:$W$57</definedName>
    <definedName name="_xlnm.Print_Area" localSheetId="11">'cash flow'!$A$1:$L$56</definedName>
    <definedName name="_xlnm.Print_Area" localSheetId="14">'cash flow working'!$A$1:$E$98</definedName>
    <definedName name="_xlnm.Print_Area" localSheetId="6">'Other Comp Income'!$A$1:$U$35</definedName>
    <definedName name="_xlnm.Print_Area" localSheetId="16">P!$B$3:$P$96</definedName>
    <definedName name="_xlnm.Print_Area" localSheetId="4">'P&amp;L'!$A$1:$V$63</definedName>
    <definedName name="_xlnm.Print_Area" localSheetId="1">'P&amp;L (2)'!$A$1:$K$51</definedName>
    <definedName name="_xlnm.Print_Area" localSheetId="0">PLS!$A$1:$J$111</definedName>
    <definedName name="_xlnm.Print_Area" localSheetId="5">'Qtr - PnL'!$A$1:$H$52</definedName>
    <definedName name="_xlnm.Print_Area" localSheetId="10">'Qtr - UHF'!$A$1:$H$46</definedName>
    <definedName name="_xlnm.Print_Area" localSheetId="12">'Qtr -cashflow'!$A$1:$E$57</definedName>
    <definedName name="_xlnm.Print_Area" localSheetId="13">[10]Sheet4!$A$421:$Q$523</definedName>
    <definedName name="_xlnm.Print_Area" localSheetId="9">UHF!$A$1:$M$44</definedName>
    <definedName name="_xlnm.Print_Area">#REF!</definedName>
    <definedName name="PRINT_AREA_MI">[3]Sheet4!$A$421:$Q$523</definedName>
    <definedName name="_xlnm.Print_Titles" localSheetId="14">'cash flow working'!$1:$3</definedName>
    <definedName name="PROFIT1" localSheetId="18">#REF!</definedName>
    <definedName name="PROFIT1" localSheetId="1">#REF!</definedName>
    <definedName name="PROFIT1" localSheetId="0">#REF!</definedName>
    <definedName name="PROFIT1" localSheetId="13">#REF!</definedName>
    <definedName name="PROFIT1">#REF!</definedName>
    <definedName name="PROFIT2" localSheetId="18">#REF!</definedName>
    <definedName name="PROFIT2" localSheetId="1">#REF!</definedName>
    <definedName name="PROFIT2" localSheetId="0">#REF!</definedName>
    <definedName name="PROFIT2">#REF!</definedName>
    <definedName name="Q" localSheetId="18">#REF!</definedName>
    <definedName name="Q" localSheetId="1">#REF!</definedName>
    <definedName name="Q" localSheetId="0">#REF!</definedName>
    <definedName name="Q">#REF!</definedName>
    <definedName name="QATAR1">[3]Sheet4!$H$428:$H$519</definedName>
    <definedName name="QATAR2">[3]Sheet4!$U$326:$U$417</definedName>
    <definedName name="rate">'[19]rate '!$B$4:$C$31</definedName>
    <definedName name="Recover">[40]Macro1!$A$170</definedName>
    <definedName name="REDCAP" localSheetId="15">[17]acct!#REF!</definedName>
    <definedName name="REDCAP" localSheetId="18">[17]acct!#REF!</definedName>
    <definedName name="REDCAP" localSheetId="1">[17]acct!#REF!</definedName>
    <definedName name="REDCAP" localSheetId="0">[17]acct!#REF!</definedName>
    <definedName name="REDCAP">[17]acct!#REF!</definedName>
    <definedName name="RF" localSheetId="15">[17]acct!#REF!</definedName>
    <definedName name="RF" localSheetId="18">[17]acct!#REF!</definedName>
    <definedName name="RF" localSheetId="1">[17]acct!#REF!</definedName>
    <definedName name="RF" localSheetId="0">[17]acct!#REF!</definedName>
    <definedName name="RF">[17]acct!#REF!</definedName>
    <definedName name="RRRR" localSheetId="18">#REF!</definedName>
    <definedName name="RRRR" localSheetId="1">#REF!</definedName>
    <definedName name="RRRR" localSheetId="0">#REF!</definedName>
    <definedName name="RRRR" localSheetId="13">#REF!</definedName>
    <definedName name="RRRR">#REF!</definedName>
    <definedName name="S_AcctDes" localSheetId="18">#REF!</definedName>
    <definedName name="S_AcctDes" localSheetId="1">#REF!</definedName>
    <definedName name="S_AcctDes" localSheetId="0">#REF!</definedName>
    <definedName name="S_AcctDes">#REF!</definedName>
    <definedName name="S_Adjust" localSheetId="18">#REF!</definedName>
    <definedName name="S_Adjust" localSheetId="1">#REF!</definedName>
    <definedName name="S_Adjust" localSheetId="0">#REF!</definedName>
    <definedName name="S_Adjust">#REF!</definedName>
    <definedName name="S_Adjust_Data" localSheetId="18">#REF!</definedName>
    <definedName name="S_Adjust_Data" localSheetId="1">#REF!</definedName>
    <definedName name="S_Adjust_Data" localSheetId="0">#REF!</definedName>
    <definedName name="S_Adjust_Data">#REF!</definedName>
    <definedName name="S_Adjust_GT" localSheetId="18">#REF!</definedName>
    <definedName name="S_Adjust_GT" localSheetId="1">#REF!</definedName>
    <definedName name="S_Adjust_GT" localSheetId="0">#REF!</definedName>
    <definedName name="S_Adjust_GT">#REF!</definedName>
    <definedName name="S_AJE_Tot" localSheetId="18">#REF!</definedName>
    <definedName name="S_AJE_Tot" localSheetId="1">#REF!</definedName>
    <definedName name="S_AJE_Tot" localSheetId="0">#REF!</definedName>
    <definedName name="S_AJE_Tot">#REF!</definedName>
    <definedName name="S_AJE_Tot_Data" localSheetId="18">#REF!</definedName>
    <definedName name="S_AJE_Tot_Data" localSheetId="1">#REF!</definedName>
    <definedName name="S_AJE_Tot_Data" localSheetId="0">#REF!</definedName>
    <definedName name="S_AJE_Tot_Data">#REF!</definedName>
    <definedName name="S_AJE_Tot_GT" localSheetId="18">#REF!</definedName>
    <definedName name="S_AJE_Tot_GT" localSheetId="1">#REF!</definedName>
    <definedName name="S_AJE_Tot_GT" localSheetId="0">#REF!</definedName>
    <definedName name="S_AJE_Tot_GT">#REF!</definedName>
    <definedName name="S_CompNum" localSheetId="18">#REF!</definedName>
    <definedName name="S_CompNum" localSheetId="1">#REF!</definedName>
    <definedName name="S_CompNum" localSheetId="0">#REF!</definedName>
    <definedName name="S_CompNum">#REF!</definedName>
    <definedName name="S_CY_Beg" localSheetId="18">#REF!</definedName>
    <definedName name="S_CY_Beg" localSheetId="1">#REF!</definedName>
    <definedName name="S_CY_Beg" localSheetId="0">#REF!</definedName>
    <definedName name="S_CY_Beg">#REF!</definedName>
    <definedName name="S_CY_Beg_Data" localSheetId="18">#REF!</definedName>
    <definedName name="S_CY_Beg_Data" localSheetId="1">#REF!</definedName>
    <definedName name="S_CY_Beg_Data" localSheetId="0">#REF!</definedName>
    <definedName name="S_CY_Beg_Data">#REF!</definedName>
    <definedName name="S_CY_Beg_GT" localSheetId="18">#REF!</definedName>
    <definedName name="S_CY_Beg_GT" localSheetId="1">#REF!</definedName>
    <definedName name="S_CY_Beg_GT" localSheetId="0">#REF!</definedName>
    <definedName name="S_CY_Beg_GT">#REF!</definedName>
    <definedName name="S_CY_End" localSheetId="18">#REF!</definedName>
    <definedName name="S_CY_End" localSheetId="1">#REF!</definedName>
    <definedName name="S_CY_End" localSheetId="0">#REF!</definedName>
    <definedName name="S_CY_End">#REF!</definedName>
    <definedName name="S_CY_End_Data" localSheetId="18">#REF!</definedName>
    <definedName name="S_CY_End_Data" localSheetId="1">#REF!</definedName>
    <definedName name="S_CY_End_Data" localSheetId="0">#REF!</definedName>
    <definedName name="S_CY_End_Data">#REF!</definedName>
    <definedName name="S_CY_End_GT" localSheetId="18">#REF!</definedName>
    <definedName name="S_CY_End_GT" localSheetId="1">#REF!</definedName>
    <definedName name="S_CY_End_GT" localSheetId="0">#REF!</definedName>
    <definedName name="S_CY_End_GT">#REF!</definedName>
    <definedName name="S_Diff_Amt" localSheetId="18">#REF!</definedName>
    <definedName name="S_Diff_Amt" localSheetId="1">#REF!</definedName>
    <definedName name="S_Diff_Amt" localSheetId="0">#REF!</definedName>
    <definedName name="S_Diff_Amt">#REF!</definedName>
    <definedName name="S_Diff_Pct" localSheetId="18">#REF!</definedName>
    <definedName name="S_Diff_Pct" localSheetId="1">#REF!</definedName>
    <definedName name="S_Diff_Pct" localSheetId="0">#REF!</definedName>
    <definedName name="S_Diff_Pct">#REF!</definedName>
    <definedName name="S_GrpNum" localSheetId="18">#REF!</definedName>
    <definedName name="S_GrpNum" localSheetId="1">#REF!</definedName>
    <definedName name="S_GrpNum" localSheetId="0">#REF!</definedName>
    <definedName name="S_GrpNum">#REF!</definedName>
    <definedName name="S_Headings" localSheetId="18">#REF!</definedName>
    <definedName name="S_Headings" localSheetId="1">#REF!</definedName>
    <definedName name="S_Headings" localSheetId="0">#REF!</definedName>
    <definedName name="S_Headings">#REF!</definedName>
    <definedName name="S_KeyValue" localSheetId="18">#REF!</definedName>
    <definedName name="S_KeyValue" localSheetId="1">#REF!</definedName>
    <definedName name="S_KeyValue" localSheetId="0">#REF!</definedName>
    <definedName name="S_KeyValue">#REF!</definedName>
    <definedName name="S_PY_End" localSheetId="18">#REF!</definedName>
    <definedName name="S_PY_End" localSheetId="1">#REF!</definedName>
    <definedName name="S_PY_End" localSheetId="0">#REF!</definedName>
    <definedName name="S_PY_End">#REF!</definedName>
    <definedName name="S_PY_End_Data" localSheetId="18">#REF!</definedName>
    <definedName name="S_PY_End_Data" localSheetId="1">#REF!</definedName>
    <definedName name="S_PY_End_Data" localSheetId="0">#REF!</definedName>
    <definedName name="S_PY_End_Data">#REF!</definedName>
    <definedName name="S_PY_End_GT" localSheetId="18">#REF!</definedName>
    <definedName name="S_PY_End_GT" localSheetId="1">#REF!</definedName>
    <definedName name="S_PY_End_GT" localSheetId="0">#REF!</definedName>
    <definedName name="S_PY_End_GT">#REF!</definedName>
    <definedName name="S_RJE_Tot" localSheetId="18">#REF!</definedName>
    <definedName name="S_RJE_Tot" localSheetId="1">#REF!</definedName>
    <definedName name="S_RJE_Tot" localSheetId="0">#REF!</definedName>
    <definedName name="S_RJE_Tot">#REF!</definedName>
    <definedName name="S_RJE_Tot_Data" localSheetId="18">#REF!</definedName>
    <definedName name="S_RJE_Tot_Data" localSheetId="1">#REF!</definedName>
    <definedName name="S_RJE_Tot_Data" localSheetId="0">#REF!</definedName>
    <definedName name="S_RJE_Tot_Data">#REF!</definedName>
    <definedName name="S_RJE_Tot_GT" localSheetId="18">#REF!</definedName>
    <definedName name="S_RJE_Tot_GT" localSheetId="1">#REF!</definedName>
    <definedName name="S_RJE_Tot_GT" localSheetId="0">#REF!</definedName>
    <definedName name="S_RJE_Tot_GT">#REF!</definedName>
    <definedName name="S_RowNum" localSheetId="18">#REF!</definedName>
    <definedName name="S_RowNum" localSheetId="1">#REF!</definedName>
    <definedName name="S_RowNum" localSheetId="0">#REF!</definedName>
    <definedName name="S_RowNum">#REF!</definedName>
    <definedName name="sa">[41]Sheet4!$A$421:$Q$523</definedName>
    <definedName name="sad" localSheetId="13" hidden="1">{"'CALL MONEY'!$K$53"}</definedName>
    <definedName name="sad" hidden="1">{"'CALL MONEY'!$K$53"}</definedName>
    <definedName name="SALES" localSheetId="15">[17]acct!#REF!</definedName>
    <definedName name="SALES" localSheetId="18">[17]acct!#REF!</definedName>
    <definedName name="SALES" localSheetId="1">[17]acct!#REF!</definedName>
    <definedName name="SALES" localSheetId="0">[17]acct!#REF!</definedName>
    <definedName name="SALES" localSheetId="13">[17]acct!#REF!</definedName>
    <definedName name="SALES">[17]acct!#REF!</definedName>
    <definedName name="sam" localSheetId="18">#REF!</definedName>
    <definedName name="sam" localSheetId="1">#REF!</definedName>
    <definedName name="sam" localSheetId="0">#REF!</definedName>
    <definedName name="sam" localSheetId="13">#REF!</definedName>
    <definedName name="sam">#REF!</definedName>
    <definedName name="SBP" localSheetId="15">'[42]Notes1-5'!#REF!</definedName>
    <definedName name="SBP" localSheetId="18">'[42]Notes1-5'!#REF!</definedName>
    <definedName name="SBP" localSheetId="1">'[42]Notes1-5'!#REF!</definedName>
    <definedName name="SBP" localSheetId="0">'[42]Notes1-5'!#REF!</definedName>
    <definedName name="SBP" localSheetId="13">'[42]Notes1-5'!#REF!</definedName>
    <definedName name="SBP">'[42]Notes1-5'!#REF!</definedName>
    <definedName name="sdsa">[43]A!$AX$5:$AX$129</definedName>
    <definedName name="sectionNames" localSheetId="18">#REF!</definedName>
    <definedName name="sectionNames" localSheetId="1">#REF!</definedName>
    <definedName name="sectionNames" localSheetId="0">#REF!</definedName>
    <definedName name="sectionNames" localSheetId="13">#REF!</definedName>
    <definedName name="sectionNames">#REF!</definedName>
    <definedName name="shehzad" localSheetId="15">[44]Sheet2!#REF!</definedName>
    <definedName name="shehzad" localSheetId="18">[44]Sheet2!#REF!</definedName>
    <definedName name="shehzad" localSheetId="1">[44]Sheet2!#REF!</definedName>
    <definedName name="shehzad" localSheetId="0">[44]Sheet2!#REF!</definedName>
    <definedName name="shehzad" localSheetId="13">[44]Sheet2!#REF!</definedName>
    <definedName name="shehzad">[44]Sheet2!#REF!</definedName>
    <definedName name="shortterm" localSheetId="15">#REF!</definedName>
    <definedName name="shortterm" localSheetId="18">#REF!</definedName>
    <definedName name="shortterm" localSheetId="1">#REF!</definedName>
    <definedName name="shortterm" localSheetId="0">#REF!</definedName>
    <definedName name="shortterm">#REF!</definedName>
    <definedName name="sma">[10]Sheet4!$A$421:$Q$523</definedName>
    <definedName name="SNS" localSheetId="15">[17]acct!#REF!</definedName>
    <definedName name="SNS" localSheetId="18">[17]acct!#REF!</definedName>
    <definedName name="SNS" localSheetId="1">[17]acct!#REF!</definedName>
    <definedName name="SNS" localSheetId="0">[17]acct!#REF!</definedName>
    <definedName name="SNS" localSheetId="13">[17]acct!#REF!</definedName>
    <definedName name="SNS">[17]acct!#REF!</definedName>
    <definedName name="SR" localSheetId="15">#REF!</definedName>
    <definedName name="SR" localSheetId="18">#REF!</definedName>
    <definedName name="SR" localSheetId="1">#REF!</definedName>
    <definedName name="SR" localSheetId="0">#REF!</definedName>
    <definedName name="SR">#REF!</definedName>
    <definedName name="STT" localSheetId="15" hidden="1">#REF!</definedName>
    <definedName name="STT" localSheetId="18" hidden="1">#REF!</definedName>
    <definedName name="STT" localSheetId="1" hidden="1">#REF!</definedName>
    <definedName name="STT" localSheetId="0" hidden="1">#REF!</definedName>
    <definedName name="STT" hidden="1">#REF!</definedName>
    <definedName name="sum" localSheetId="18">#REF!</definedName>
    <definedName name="sum" localSheetId="1">#REF!</definedName>
    <definedName name="sum" localSheetId="0">#REF!</definedName>
    <definedName name="sum">#REF!</definedName>
    <definedName name="T_BILLREPO" localSheetId="15">'[45]T-BILL'!#REF!</definedName>
    <definedName name="T_BILLREPO" localSheetId="18">'[45]T-BILL'!#REF!</definedName>
    <definedName name="T_BILLREPO" localSheetId="1">'[45]T-BILL'!#REF!</definedName>
    <definedName name="T_BILLREPO" localSheetId="0">'[45]T-BILL'!#REF!</definedName>
    <definedName name="T_BILLREPO" localSheetId="13">'[45]T-BILL'!#REF!</definedName>
    <definedName name="T_BILLREPO">'[45]T-BILL'!#REF!</definedName>
    <definedName name="TableName">"Dummy"</definedName>
    <definedName name="talha" localSheetId="6" hidden="1">{"'CALL MONEY'!$K$53"}</definedName>
    <definedName name="talha" localSheetId="13" hidden="1">{"'CALL MONEY'!$K$53"}</definedName>
    <definedName name="talha" localSheetId="9" hidden="1">{"'CALL MONEY'!$K$53"}</definedName>
    <definedName name="talha" hidden="1">{"'CALL MONEY'!$K$53"}</definedName>
    <definedName name="tAX" localSheetId="15">[17]acct!#REF!</definedName>
    <definedName name="tAX" localSheetId="18">[17]acct!#REF!</definedName>
    <definedName name="tAX" localSheetId="1">[17]acct!#REF!</definedName>
    <definedName name="tAX" localSheetId="0">[17]acct!#REF!</definedName>
    <definedName name="tAX" localSheetId="13">[17]acct!#REF!</definedName>
    <definedName name="tAX">[17]acct!#REF!</definedName>
    <definedName name="TextRefCopy1" localSheetId="18">#REF!</definedName>
    <definedName name="TextRefCopy1" localSheetId="1">#REF!</definedName>
    <definedName name="TextRefCopy1" localSheetId="0">#REF!</definedName>
    <definedName name="TextRefCopy1" localSheetId="13">#REF!</definedName>
    <definedName name="TextRefCopy1">#REF!</definedName>
    <definedName name="TextRefCopyRangeCount" hidden="1">2</definedName>
    <definedName name="TOTAL" localSheetId="15">#REF!</definedName>
    <definedName name="TOTAL" localSheetId="18">#REF!</definedName>
    <definedName name="TOTAL" localSheetId="1">#REF!</definedName>
    <definedName name="TOTAL" localSheetId="0">#REF!</definedName>
    <definedName name="TOTAL">#REF!</definedName>
    <definedName name="TRF" localSheetId="15">'[1]last qrt2001'!#REF!</definedName>
    <definedName name="TRF" localSheetId="18">'[1]last qrt2001'!#REF!</definedName>
    <definedName name="TRF" localSheetId="1">'[1]last qrt2001'!#REF!</definedName>
    <definedName name="TRF" localSheetId="0">'[1]last qrt2001'!#REF!</definedName>
    <definedName name="TRF" localSheetId="13">'[1]last qrt2001'!#REF!</definedName>
    <definedName name="TRF">'[1]last qrt2001'!#REF!</definedName>
    <definedName name="ttt" localSheetId="15" hidden="1">#REF!</definedName>
    <definedName name="ttt" localSheetId="18" hidden="1">#REF!</definedName>
    <definedName name="ttt" localSheetId="1" hidden="1">#REF!</definedName>
    <definedName name="ttt" localSheetId="0" hidden="1">#REF!</definedName>
    <definedName name="ttt" localSheetId="13" hidden="1">#REF!</definedName>
    <definedName name="ttt" hidden="1">#REF!</definedName>
    <definedName name="uae">[19]UAE!$A$8:$G$29</definedName>
    <definedName name="ubl" localSheetId="15">#REF!</definedName>
    <definedName name="ubl" localSheetId="18">#REF!</definedName>
    <definedName name="ubl" localSheetId="1">#REF!</definedName>
    <definedName name="ubl" localSheetId="0">#REF!</definedName>
    <definedName name="ubl">#REF!</definedName>
    <definedName name="ublbs" localSheetId="15">#REF!</definedName>
    <definedName name="ublbs" localSheetId="18">#REF!</definedName>
    <definedName name="ublbs" localSheetId="1">#REF!</definedName>
    <definedName name="ublbs" localSheetId="0">#REF!</definedName>
    <definedName name="ublbs">#REF!</definedName>
    <definedName name="Units" localSheetId="18">#REF!</definedName>
    <definedName name="Units" localSheetId="1">#REF!</definedName>
    <definedName name="Units" localSheetId="0">#REF!</definedName>
    <definedName name="Units">#REF!</definedName>
    <definedName name="W" localSheetId="18">#REF!</definedName>
    <definedName name="W" localSheetId="1">#REF!</definedName>
    <definedName name="W" localSheetId="0">#REF!</definedName>
    <definedName name="W">#REF!</definedName>
    <definedName name="X" localSheetId="18">#REF!</definedName>
    <definedName name="X" localSheetId="1">#REF!</definedName>
    <definedName name="X" localSheetId="0">#REF!</definedName>
    <definedName name="X">#REF!</definedName>
    <definedName name="XX" localSheetId="15">'[1]last qrt2001'!#REF!</definedName>
    <definedName name="XX" localSheetId="18">'[1]last qrt2001'!#REF!</definedName>
    <definedName name="XX" localSheetId="1">'[1]last qrt2001'!#REF!</definedName>
    <definedName name="XX" localSheetId="0">'[1]last qrt2001'!#REF!</definedName>
    <definedName name="XX" localSheetId="13">'[1]last qrt2001'!#REF!</definedName>
    <definedName name="XX">'[1]last qrt2001'!#REF!</definedName>
    <definedName name="YCAB" localSheetId="15">#REF!</definedName>
    <definedName name="YCAB" localSheetId="18">#REF!</definedName>
    <definedName name="YCAB" localSheetId="1">#REF!</definedName>
    <definedName name="YCAB" localSheetId="0">#REF!</definedName>
    <definedName name="YCAB">#REF!</definedName>
    <definedName name="ycab1" localSheetId="15">#REF!</definedName>
    <definedName name="ycab1" localSheetId="18">#REF!</definedName>
    <definedName name="ycab1" localSheetId="1">#REF!</definedName>
    <definedName name="ycab1" localSheetId="0">#REF!</definedName>
    <definedName name="ycab1">#REF!</definedName>
    <definedName name="YEMEN1">[3]Sheet4!$L$222:$L$313</definedName>
    <definedName name="YEMEN2">[3]Sheet4!$Y$222:$Y$313</definedName>
    <definedName name="Z_84FBBE83_FF6F_4C76_A58E_D04643F715A5_.wvu.Cols" localSheetId="14" hidden="1">'cash flow working'!$B:$C,'cash flow working'!$H:$I</definedName>
    <definedName name="Z_84FBBE83_FF6F_4C76_A58E_D04643F715A5_.wvu.PrintArea" localSheetId="15" hidden="1">'1'!$A$1:$R$32</definedName>
    <definedName name="Z_84FBBE83_FF6F_4C76_A58E_D04643F715A5_.wvu.PrintArea" localSheetId="17" hidden="1">'2'!$A$3:$D$8</definedName>
    <definedName name="Z_84FBBE83_FF6F_4C76_A58E_D04643F715A5_.wvu.PrintArea" localSheetId="18" hidden="1">'3'!$A$5:$T$16</definedName>
    <definedName name="Z_84FBBE83_FF6F_4C76_A58E_D04643F715A5_.wvu.PrintArea" localSheetId="3" hidden="1">BS!$A$1:$H$57</definedName>
    <definedName name="Z_84FBBE83_FF6F_4C76_A58E_D04643F715A5_.wvu.PrintArea" localSheetId="11" hidden="1">'cash flow'!$A$1:$L$56</definedName>
    <definedName name="Z_84FBBE83_FF6F_4C76_A58E_D04643F715A5_.wvu.PrintArea" localSheetId="14" hidden="1">'cash flow working'!$A$1:$E$98</definedName>
    <definedName name="Z_84FBBE83_FF6F_4C76_A58E_D04643F715A5_.wvu.PrintArea" localSheetId="6" hidden="1">'Other Comp Income'!$A$1:$G$35</definedName>
    <definedName name="Z_84FBBE83_FF6F_4C76_A58E_D04643F715A5_.wvu.PrintArea" localSheetId="4" hidden="1">'P&amp;L'!$A$1:$H$60</definedName>
    <definedName name="Z_84FBBE83_FF6F_4C76_A58E_D04643F715A5_.wvu.PrintArea" localSheetId="1" hidden="1">'P&amp;L (2)'!$A$1:$G$81</definedName>
    <definedName name="Z_84FBBE83_FF6F_4C76_A58E_D04643F715A5_.wvu.PrintArea" localSheetId="5" hidden="1">'Qtr - PnL'!$A$1:$H$52</definedName>
    <definedName name="Z_84FBBE83_FF6F_4C76_A58E_D04643F715A5_.wvu.PrintArea" localSheetId="10" hidden="1">'Qtr - UHF'!$A$1:$H$46</definedName>
    <definedName name="Z_84FBBE83_FF6F_4C76_A58E_D04643F715A5_.wvu.PrintArea" localSheetId="12" hidden="1">'Qtr -cashflow'!$A$1:$E$57</definedName>
    <definedName name="Z_84FBBE83_FF6F_4C76_A58E_D04643F715A5_.wvu.PrintArea" localSheetId="9" hidden="1">UHF!$A$1:$G$44</definedName>
    <definedName name="Z_84FBBE83_FF6F_4C76_A58E_D04643F715A5_.wvu.PrintTitles" localSheetId="14" hidden="1">'cash flow working'!$1:$3</definedName>
    <definedName name="Z_84FBBE83_FF6F_4C76_A58E_D04643F715A5_.wvu.Rows" localSheetId="17" hidden="1">'2'!#REF!</definedName>
    <definedName name="Z_84FBBE83_FF6F_4C76_A58E_D04643F715A5_.wvu.Rows" localSheetId="18" hidden="1">'3'!#REF!</definedName>
    <definedName name="Z_84FBBE83_FF6F_4C76_A58E_D04643F715A5_.wvu.Rows" localSheetId="3" hidden="1">BS!$14:$14</definedName>
    <definedName name="Z_84FBBE83_FF6F_4C76_A58E_D04643F715A5_.wvu.Rows" localSheetId="11" hidden="1">'cash flow'!$23:$23</definedName>
    <definedName name="Z_84FBBE83_FF6F_4C76_A58E_D04643F715A5_.wvu.Rows" localSheetId="14" hidden="1">'cash flow working'!$29:$29,'cash flow working'!$32:$32</definedName>
    <definedName name="Z_84FBBE83_FF6F_4C76_A58E_D04643F715A5_.wvu.Rows" localSheetId="4" hidden="1">'P&amp;L'!$37:$37</definedName>
    <definedName name="Z_84FBBE83_FF6F_4C76_A58E_D04643F715A5_.wvu.Rows" localSheetId="1" hidden="1">'P&amp;L (2)'!$30:$30</definedName>
    <definedName name="Z_84FBBE83_FF6F_4C76_A58E_D04643F715A5_.wvu.Rows" localSheetId="12" hidden="1">'Qtr -cashflow'!$20:$20,'Qtr -cashflow'!$54:$57</definedName>
  </definedNames>
  <calcPr calcId="124519"/>
  <customWorkbookViews>
    <customWorkbookView name="Syed Ahsan Aman - Personal View" guid="{84FBBE83-FF6F-4C76-A58E-D04643F715A5}" mergeInterval="0" personalView="1" maximized="1" windowWidth="1020" windowHeight="543" tabRatio="945" activeSheetId="10"/>
  </customWorkbookViews>
</workbook>
</file>

<file path=xl/calcChain.xml><?xml version="1.0" encoding="utf-8"?>
<calcChain xmlns="http://schemas.openxmlformats.org/spreadsheetml/2006/main">
  <c r="G11" i="57"/>
  <c r="G10"/>
  <c r="G9"/>
  <c r="J32" i="33"/>
  <c r="H32"/>
  <c r="F32"/>
  <c r="H8" i="57" l="1"/>
  <c r="H11"/>
  <c r="K111"/>
  <c r="K74"/>
  <c r="K38"/>
  <c r="G81" l="1"/>
  <c r="G44"/>
  <c r="G8"/>
  <c r="G80" l="1"/>
  <c r="G43"/>
  <c r="G7"/>
  <c r="I7" l="1"/>
  <c r="H7"/>
  <c r="J7" l="1"/>
  <c r="K9"/>
  <c r="I109" l="1"/>
  <c r="I108"/>
  <c r="I107"/>
  <c r="I106"/>
  <c r="I105"/>
  <c r="I104"/>
  <c r="I103"/>
  <c r="I102"/>
  <c r="I101"/>
  <c r="I100"/>
  <c r="I99"/>
  <c r="I98"/>
  <c r="I97"/>
  <c r="I96"/>
  <c r="I95"/>
  <c r="I94"/>
  <c r="I93"/>
  <c r="I92"/>
  <c r="I91"/>
  <c r="I90"/>
  <c r="I89"/>
  <c r="I88"/>
  <c r="I87"/>
  <c r="I86"/>
  <c r="I85"/>
  <c r="I84"/>
  <c r="I83"/>
  <c r="I82"/>
  <c r="I81"/>
  <c r="I80"/>
  <c r="I79"/>
  <c r="I72"/>
  <c r="I71"/>
  <c r="I70"/>
  <c r="I69"/>
  <c r="I68"/>
  <c r="I67"/>
  <c r="I66"/>
  <c r="I65"/>
  <c r="I64"/>
  <c r="I63"/>
  <c r="I62"/>
  <c r="I61"/>
  <c r="I60"/>
  <c r="I59"/>
  <c r="I58"/>
  <c r="I57"/>
  <c r="I56"/>
  <c r="I55"/>
  <c r="I54"/>
  <c r="I53"/>
  <c r="I52"/>
  <c r="I51"/>
  <c r="I50"/>
  <c r="I49"/>
  <c r="I48"/>
  <c r="I47"/>
  <c r="I46"/>
  <c r="I45"/>
  <c r="I44"/>
  <c r="I43"/>
  <c r="I42"/>
  <c r="I36"/>
  <c r="I35"/>
  <c r="I34"/>
  <c r="I33"/>
  <c r="I32"/>
  <c r="I31"/>
  <c r="I30"/>
  <c r="I29"/>
  <c r="I28"/>
  <c r="I27"/>
  <c r="I26"/>
  <c r="I25"/>
  <c r="I24"/>
  <c r="I23"/>
  <c r="I22"/>
  <c r="I21"/>
  <c r="I20"/>
  <c r="I19"/>
  <c r="I18"/>
  <c r="I17"/>
  <c r="I16"/>
  <c r="I15"/>
  <c r="I14"/>
  <c r="I13"/>
  <c r="I12"/>
  <c r="I11"/>
  <c r="I10"/>
  <c r="I9"/>
  <c r="I8"/>
  <c r="I6"/>
  <c r="F79" l="1"/>
  <c r="C79"/>
  <c r="F42"/>
  <c r="C42"/>
  <c r="F6"/>
  <c r="C6"/>
  <c r="G79"/>
  <c r="G42"/>
  <c r="G6"/>
  <c r="J42" l="1"/>
  <c r="J79"/>
  <c r="J6"/>
  <c r="K8" l="1"/>
  <c r="K10" s="1"/>
  <c r="P6"/>
  <c r="P7" s="1"/>
  <c r="J109" l="1"/>
  <c r="G109"/>
  <c r="F109"/>
  <c r="C109"/>
  <c r="E109" s="1"/>
  <c r="J108"/>
  <c r="G108"/>
  <c r="F108"/>
  <c r="C108"/>
  <c r="E108" s="1"/>
  <c r="J107"/>
  <c r="G107"/>
  <c r="F107"/>
  <c r="C107"/>
  <c r="E107" s="1"/>
  <c r="J106"/>
  <c r="G106"/>
  <c r="F106"/>
  <c r="C106"/>
  <c r="E106" s="1"/>
  <c r="J105"/>
  <c r="G105"/>
  <c r="F105"/>
  <c r="C105"/>
  <c r="E105" s="1"/>
  <c r="J104"/>
  <c r="G104"/>
  <c r="F104"/>
  <c r="C104"/>
  <c r="E104" s="1"/>
  <c r="J103"/>
  <c r="G103"/>
  <c r="F103"/>
  <c r="C103"/>
  <c r="E103" s="1"/>
  <c r="J102"/>
  <c r="G102"/>
  <c r="F102"/>
  <c r="C102"/>
  <c r="E102" s="1"/>
  <c r="J101"/>
  <c r="G101"/>
  <c r="F101"/>
  <c r="C101"/>
  <c r="E101" s="1"/>
  <c r="J100"/>
  <c r="G100"/>
  <c r="F100"/>
  <c r="C100"/>
  <c r="E100" s="1"/>
  <c r="J99"/>
  <c r="G99"/>
  <c r="F99"/>
  <c r="C99"/>
  <c r="E99" s="1"/>
  <c r="J98"/>
  <c r="G98"/>
  <c r="F98"/>
  <c r="C98"/>
  <c r="E98" s="1"/>
  <c r="J97"/>
  <c r="G97"/>
  <c r="F97"/>
  <c r="C97"/>
  <c r="E97" s="1"/>
  <c r="J96"/>
  <c r="G96"/>
  <c r="F96"/>
  <c r="C96"/>
  <c r="E96" s="1"/>
  <c r="J95"/>
  <c r="G95"/>
  <c r="F95"/>
  <c r="C95"/>
  <c r="E95" s="1"/>
  <c r="J94"/>
  <c r="G94"/>
  <c r="F94"/>
  <c r="C94"/>
  <c r="E94" s="1"/>
  <c r="J93"/>
  <c r="G93"/>
  <c r="F93"/>
  <c r="C93"/>
  <c r="E93" s="1"/>
  <c r="J92"/>
  <c r="G92"/>
  <c r="F92"/>
  <c r="C92"/>
  <c r="E92" s="1"/>
  <c r="J91"/>
  <c r="G91"/>
  <c r="F91"/>
  <c r="C91"/>
  <c r="E91" s="1"/>
  <c r="J90"/>
  <c r="G90"/>
  <c r="F90"/>
  <c r="C90"/>
  <c r="E90" s="1"/>
  <c r="J89"/>
  <c r="G89"/>
  <c r="F89"/>
  <c r="C89"/>
  <c r="E89" s="1"/>
  <c r="J88"/>
  <c r="G88"/>
  <c r="F88"/>
  <c r="C88"/>
  <c r="E88" s="1"/>
  <c r="J87"/>
  <c r="G87"/>
  <c r="F87"/>
  <c r="C87"/>
  <c r="E87" s="1"/>
  <c r="J86"/>
  <c r="G86"/>
  <c r="F86"/>
  <c r="C86"/>
  <c r="E86" s="1"/>
  <c r="J85"/>
  <c r="G85"/>
  <c r="F85"/>
  <c r="C85"/>
  <c r="E85" s="1"/>
  <c r="J84"/>
  <c r="F84"/>
  <c r="C84"/>
  <c r="E84" s="1"/>
  <c r="J83"/>
  <c r="G83"/>
  <c r="F83"/>
  <c r="C83"/>
  <c r="E83" s="1"/>
  <c r="J82"/>
  <c r="G82"/>
  <c r="F82"/>
  <c r="C82"/>
  <c r="E82" s="1"/>
  <c r="J81"/>
  <c r="F81"/>
  <c r="C81"/>
  <c r="J80"/>
  <c r="F80"/>
  <c r="C80"/>
  <c r="A80"/>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E79"/>
  <c r="J72"/>
  <c r="G72"/>
  <c r="F72"/>
  <c r="C72"/>
  <c r="E72" s="1"/>
  <c r="J71"/>
  <c r="G71"/>
  <c r="F71"/>
  <c r="C71"/>
  <c r="E71" s="1"/>
  <c r="J70"/>
  <c r="G70"/>
  <c r="F70"/>
  <c r="C70"/>
  <c r="E70" s="1"/>
  <c r="J69"/>
  <c r="G69"/>
  <c r="F69"/>
  <c r="C69"/>
  <c r="E69" s="1"/>
  <c r="J68"/>
  <c r="G68"/>
  <c r="F68"/>
  <c r="C68"/>
  <c r="E68" s="1"/>
  <c r="J67"/>
  <c r="G67"/>
  <c r="F67"/>
  <c r="C67"/>
  <c r="E67" s="1"/>
  <c r="J66"/>
  <c r="G66"/>
  <c r="F66"/>
  <c r="C66"/>
  <c r="E66" s="1"/>
  <c r="J65"/>
  <c r="G65"/>
  <c r="F65"/>
  <c r="C65"/>
  <c r="E65" s="1"/>
  <c r="J64"/>
  <c r="G64"/>
  <c r="F64"/>
  <c r="C64"/>
  <c r="E64" s="1"/>
  <c r="J63"/>
  <c r="G63"/>
  <c r="F63"/>
  <c r="C63"/>
  <c r="E63" s="1"/>
  <c r="J62"/>
  <c r="G62"/>
  <c r="F62"/>
  <c r="C62"/>
  <c r="E62" s="1"/>
  <c r="J61"/>
  <c r="G61"/>
  <c r="F61"/>
  <c r="C61"/>
  <c r="E61" s="1"/>
  <c r="J60"/>
  <c r="G60"/>
  <c r="F60"/>
  <c r="C60"/>
  <c r="E60" s="1"/>
  <c r="J59"/>
  <c r="G59"/>
  <c r="F59"/>
  <c r="C59"/>
  <c r="E59" s="1"/>
  <c r="J58"/>
  <c r="G58"/>
  <c r="F58"/>
  <c r="C58"/>
  <c r="E58" s="1"/>
  <c r="J57"/>
  <c r="G57"/>
  <c r="F57"/>
  <c r="C57"/>
  <c r="E57" s="1"/>
  <c r="J56"/>
  <c r="G56"/>
  <c r="F56"/>
  <c r="C56"/>
  <c r="E56" s="1"/>
  <c r="J55"/>
  <c r="G55"/>
  <c r="F55"/>
  <c r="C55"/>
  <c r="E55" s="1"/>
  <c r="J54"/>
  <c r="G54"/>
  <c r="F54"/>
  <c r="C54"/>
  <c r="E54" s="1"/>
  <c r="J53"/>
  <c r="G53"/>
  <c r="F53"/>
  <c r="C53"/>
  <c r="E53" s="1"/>
  <c r="J52"/>
  <c r="G52"/>
  <c r="F52"/>
  <c r="C52"/>
  <c r="E52" s="1"/>
  <c r="J51"/>
  <c r="G51"/>
  <c r="F51"/>
  <c r="C51"/>
  <c r="E51" s="1"/>
  <c r="J50"/>
  <c r="G50"/>
  <c r="F50"/>
  <c r="C50"/>
  <c r="E50" s="1"/>
  <c r="J49"/>
  <c r="G49"/>
  <c r="F49"/>
  <c r="C49"/>
  <c r="E49" s="1"/>
  <c r="J48"/>
  <c r="G48"/>
  <c r="F48"/>
  <c r="C48"/>
  <c r="E48" s="1"/>
  <c r="J47"/>
  <c r="F47"/>
  <c r="C47"/>
  <c r="E47" s="1"/>
  <c r="J46"/>
  <c r="G46"/>
  <c r="F46"/>
  <c r="C46"/>
  <c r="E46" s="1"/>
  <c r="J45"/>
  <c r="G45"/>
  <c r="F45"/>
  <c r="C45"/>
  <c r="E45" s="1"/>
  <c r="J44"/>
  <c r="F44"/>
  <c r="C44"/>
  <c r="J43"/>
  <c r="F43"/>
  <c r="C43"/>
  <c r="D43" s="1"/>
  <c r="A43"/>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D42"/>
  <c r="J36"/>
  <c r="G36"/>
  <c r="F36"/>
  <c r="C36"/>
  <c r="E36" s="1"/>
  <c r="J35"/>
  <c r="G35"/>
  <c r="F35"/>
  <c r="C35"/>
  <c r="E35" s="1"/>
  <c r="J34"/>
  <c r="G34"/>
  <c r="F34"/>
  <c r="C34"/>
  <c r="E34" s="1"/>
  <c r="J33"/>
  <c r="G33"/>
  <c r="F33"/>
  <c r="C33"/>
  <c r="E33" s="1"/>
  <c r="J32"/>
  <c r="G32"/>
  <c r="F32"/>
  <c r="C32"/>
  <c r="E32" s="1"/>
  <c r="J31"/>
  <c r="G31"/>
  <c r="F31"/>
  <c r="C31"/>
  <c r="E31" s="1"/>
  <c r="J30"/>
  <c r="G30"/>
  <c r="F30"/>
  <c r="C30"/>
  <c r="E30" s="1"/>
  <c r="J29"/>
  <c r="G29"/>
  <c r="F29"/>
  <c r="C29"/>
  <c r="E29" s="1"/>
  <c r="J28"/>
  <c r="G28"/>
  <c r="F28"/>
  <c r="C28"/>
  <c r="E28" s="1"/>
  <c r="J27"/>
  <c r="G27"/>
  <c r="F27"/>
  <c r="C27"/>
  <c r="E27" s="1"/>
  <c r="J26"/>
  <c r="G26"/>
  <c r="F26"/>
  <c r="C26"/>
  <c r="E26" s="1"/>
  <c r="J25"/>
  <c r="G25"/>
  <c r="F25"/>
  <c r="C25"/>
  <c r="E25" s="1"/>
  <c r="J24"/>
  <c r="G24"/>
  <c r="F24"/>
  <c r="C24"/>
  <c r="E24" s="1"/>
  <c r="J23"/>
  <c r="G23"/>
  <c r="F23"/>
  <c r="C23"/>
  <c r="E23" s="1"/>
  <c r="J22"/>
  <c r="G22"/>
  <c r="F22"/>
  <c r="C22"/>
  <c r="E22" s="1"/>
  <c r="J21"/>
  <c r="G21"/>
  <c r="F21"/>
  <c r="C21"/>
  <c r="E21" s="1"/>
  <c r="J20"/>
  <c r="G20"/>
  <c r="F20"/>
  <c r="C20"/>
  <c r="E20" s="1"/>
  <c r="J19"/>
  <c r="G19"/>
  <c r="F19"/>
  <c r="C19"/>
  <c r="E19" s="1"/>
  <c r="J18"/>
  <c r="G18"/>
  <c r="F18"/>
  <c r="C18"/>
  <c r="E18" s="1"/>
  <c r="J17"/>
  <c r="G17"/>
  <c r="F17"/>
  <c r="C17"/>
  <c r="E17" s="1"/>
  <c r="J16"/>
  <c r="G16"/>
  <c r="F16"/>
  <c r="C16"/>
  <c r="E16" s="1"/>
  <c r="J15"/>
  <c r="G15"/>
  <c r="F15"/>
  <c r="C15"/>
  <c r="E15" s="1"/>
  <c r="J14"/>
  <c r="G14"/>
  <c r="F14"/>
  <c r="C14"/>
  <c r="D14" s="1"/>
  <c r="J13"/>
  <c r="G13"/>
  <c r="F13"/>
  <c r="C13"/>
  <c r="E13" s="1"/>
  <c r="J12"/>
  <c r="G12"/>
  <c r="F12"/>
  <c r="C12"/>
  <c r="E12" s="1"/>
  <c r="J11"/>
  <c r="F11"/>
  <c r="C11"/>
  <c r="E11" s="1"/>
  <c r="E44" l="1"/>
  <c r="D44"/>
  <c r="E80"/>
  <c r="D80"/>
  <c r="E81"/>
  <c r="D81"/>
  <c r="D79"/>
  <c r="D82"/>
  <c r="D83"/>
  <c r="D84"/>
  <c r="D85"/>
  <c r="D86"/>
  <c r="D87"/>
  <c r="D88"/>
  <c r="D89"/>
  <c r="D90"/>
  <c r="D91"/>
  <c r="D92"/>
  <c r="D93"/>
  <c r="D94"/>
  <c r="D95"/>
  <c r="D96"/>
  <c r="D97"/>
  <c r="D98"/>
  <c r="D99"/>
  <c r="D100"/>
  <c r="D101"/>
  <c r="D102"/>
  <c r="D103"/>
  <c r="D104"/>
  <c r="D105"/>
  <c r="D106"/>
  <c r="D107"/>
  <c r="D108"/>
  <c r="D109"/>
  <c r="E42"/>
  <c r="E43"/>
  <c r="D45"/>
  <c r="D46"/>
  <c r="D47"/>
  <c r="D48"/>
  <c r="D49"/>
  <c r="D50"/>
  <c r="D51"/>
  <c r="D52"/>
  <c r="D53"/>
  <c r="D54"/>
  <c r="D55"/>
  <c r="D56"/>
  <c r="D57"/>
  <c r="D58"/>
  <c r="D59"/>
  <c r="D60"/>
  <c r="D61"/>
  <c r="D62"/>
  <c r="D63"/>
  <c r="D64"/>
  <c r="D65"/>
  <c r="D66"/>
  <c r="D67"/>
  <c r="D68"/>
  <c r="D69"/>
  <c r="D70"/>
  <c r="D71"/>
  <c r="D72"/>
  <c r="D33"/>
  <c r="D35"/>
  <c r="D29"/>
  <c r="D31"/>
  <c r="D25"/>
  <c r="D27"/>
  <c r="D11"/>
  <c r="D13"/>
  <c r="D15"/>
  <c r="D17"/>
  <c r="D19"/>
  <c r="D21"/>
  <c r="D23"/>
  <c r="E14"/>
  <c r="D12"/>
  <c r="D16"/>
  <c r="D18"/>
  <c r="D20"/>
  <c r="D22"/>
  <c r="D24"/>
  <c r="D26"/>
  <c r="D28"/>
  <c r="D30"/>
  <c r="D32"/>
  <c r="D34"/>
  <c r="D36"/>
  <c r="K80" l="1"/>
  <c r="K79"/>
  <c r="K87"/>
  <c r="K86"/>
  <c r="K85"/>
  <c r="K84"/>
  <c r="K83"/>
  <c r="K82"/>
  <c r="K81" l="1"/>
  <c r="L87" l="1"/>
  <c r="L50"/>
  <c r="L49" l="1"/>
  <c r="L48" l="1"/>
  <c r="L47"/>
  <c r="L86"/>
  <c r="L85"/>
  <c r="L84"/>
  <c r="F10" l="1"/>
  <c r="C10"/>
  <c r="D10" s="1"/>
  <c r="E10" l="1"/>
  <c r="L83" l="1"/>
  <c r="L46"/>
  <c r="F9" l="1"/>
  <c r="C9"/>
  <c r="E9" s="1"/>
  <c r="L82"/>
  <c r="L45"/>
  <c r="J10" l="1"/>
  <c r="D9"/>
  <c r="J9" l="1"/>
  <c r="F8" l="1"/>
  <c r="C8"/>
  <c r="L44"/>
  <c r="L81"/>
  <c r="E8" l="1"/>
  <c r="D8"/>
  <c r="F7" l="1"/>
  <c r="L80" l="1"/>
  <c r="L43"/>
  <c r="C7"/>
  <c r="D7" s="1"/>
  <c r="E7" l="1"/>
  <c r="L6" l="1"/>
  <c r="M6" s="1"/>
  <c r="E6"/>
  <c r="D6" l="1"/>
  <c r="M7"/>
  <c r="O7" s="1"/>
  <c r="O6"/>
  <c r="L79"/>
  <c r="L111" s="1"/>
  <c r="L42"/>
  <c r="L74" s="1"/>
  <c r="G111"/>
  <c r="F74"/>
  <c r="H27" i="33" s="1"/>
  <c r="G74" i="57"/>
  <c r="C74"/>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G38"/>
  <c r="F38"/>
  <c r="F27" i="33" s="1"/>
  <c r="C38" i="57"/>
  <c r="F24" i="33" s="1"/>
  <c r="H24" l="1"/>
  <c r="J28"/>
  <c r="H28"/>
  <c r="F28"/>
  <c r="J8" i="57"/>
  <c r="J74"/>
  <c r="H14" i="33" s="1"/>
  <c r="J111" i="57"/>
  <c r="K112" s="1"/>
  <c r="E74"/>
  <c r="H26" i="33" s="1"/>
  <c r="D74" i="57"/>
  <c r="H25" i="33" s="1"/>
  <c r="D38" i="57"/>
  <c r="F25" i="33" s="1"/>
  <c r="E38" i="57"/>
  <c r="F26" i="33" s="1"/>
  <c r="K75" i="57" l="1"/>
  <c r="L75"/>
  <c r="J14" i="33"/>
  <c r="L112" i="57"/>
  <c r="M6" i="33" l="1"/>
  <c r="M5" l="1"/>
  <c r="N6" s="1"/>
  <c r="N7" s="1"/>
  <c r="H17"/>
  <c r="H21" s="1"/>
  <c r="J17" l="1"/>
  <c r="J21" s="1"/>
  <c r="N58" l="1"/>
  <c r="N54"/>
  <c r="N53"/>
  <c r="N52"/>
  <c r="N51"/>
  <c r="N49"/>
  <c r="N48"/>
  <c r="N47"/>
  <c r="N45"/>
  <c r="N43"/>
  <c r="N42"/>
  <c r="N41"/>
  <c r="N39"/>
  <c r="N22"/>
  <c r="N19"/>
  <c r="N18"/>
  <c r="E34" l="1"/>
  <c r="N34" l="1"/>
  <c r="D42" i="27" l="1"/>
  <c r="D58"/>
  <c r="D19"/>
  <c r="C30" i="33" l="1"/>
  <c r="E6" l="1"/>
  <c r="E30"/>
  <c r="C6"/>
  <c r="N30" l="1"/>
  <c r="C59"/>
  <c r="E59" s="1"/>
  <c r="I64" s="1"/>
  <c r="C43"/>
  <c r="K72"/>
  <c r="N59" l="1"/>
  <c r="H59"/>
  <c r="C31"/>
  <c r="E31" s="1"/>
  <c r="C27"/>
  <c r="E27" s="1"/>
  <c r="C26"/>
  <c r="E26" s="1"/>
  <c r="C28"/>
  <c r="E28" s="1"/>
  <c r="C29"/>
  <c r="E29" s="1"/>
  <c r="C24"/>
  <c r="E24" s="1"/>
  <c r="C16"/>
  <c r="E16" s="1"/>
  <c r="C15"/>
  <c r="E15" s="1"/>
  <c r="C13"/>
  <c r="C11"/>
  <c r="C37"/>
  <c r="E37" s="1"/>
  <c r="C35"/>
  <c r="E35" s="1"/>
  <c r="C32"/>
  <c r="E32" s="1"/>
  <c r="C25"/>
  <c r="E25" s="1"/>
  <c r="C23"/>
  <c r="E23" s="1"/>
  <c r="C20"/>
  <c r="C14"/>
  <c r="E14" s="1"/>
  <c r="C12"/>
  <c r="E12" s="1"/>
  <c r="C44"/>
  <c r="C36"/>
  <c r="E36" s="1"/>
  <c r="C33"/>
  <c r="E33" s="1"/>
  <c r="E44" l="1"/>
  <c r="N44" s="1"/>
  <c r="E20"/>
  <c r="I70"/>
  <c r="J70"/>
  <c r="N14"/>
  <c r="N23"/>
  <c r="N31"/>
  <c r="N37"/>
  <c r="N15"/>
  <c r="N16"/>
  <c r="N24"/>
  <c r="N29"/>
  <c r="N28"/>
  <c r="N33"/>
  <c r="N36"/>
  <c r="N12"/>
  <c r="N25"/>
  <c r="N32"/>
  <c r="N35"/>
  <c r="N26"/>
  <c r="N27"/>
  <c r="E13"/>
  <c r="C38"/>
  <c r="E38"/>
  <c r="N38" s="1"/>
  <c r="C17"/>
  <c r="C21" s="1"/>
  <c r="E11"/>
  <c r="N11" s="1"/>
  <c r="C40" l="1"/>
  <c r="N20"/>
  <c r="K70"/>
  <c r="N13"/>
  <c r="E17"/>
  <c r="N17" s="1"/>
  <c r="D43" i="27"/>
  <c r="D44" s="1"/>
  <c r="E21" i="33" l="1"/>
  <c r="N21" s="1"/>
  <c r="I21" l="1"/>
  <c r="E40"/>
  <c r="I69" s="1"/>
  <c r="I71" l="1"/>
  <c r="K71"/>
  <c r="K73" s="1"/>
  <c r="N40"/>
  <c r="A81" l="1"/>
  <c r="A80"/>
  <c r="A76"/>
  <c r="A73"/>
  <c r="A72"/>
  <c r="A69" l="1"/>
  <c r="D85" i="27" l="1"/>
  <c r="F28" i="6" l="1"/>
  <c r="H28" s="1"/>
  <c r="D78" i="27" l="1"/>
  <c r="E17" i="15"/>
  <c r="E16"/>
  <c r="J26" i="6"/>
  <c r="J27" s="1"/>
  <c r="F27"/>
  <c r="H27" s="1"/>
  <c r="J29" l="1"/>
  <c r="J30" s="1"/>
  <c r="J32" s="1"/>
  <c r="C17" i="15" l="1"/>
  <c r="G17" s="1"/>
  <c r="C22" i="14"/>
  <c r="E22" s="1"/>
  <c r="G18" i="15" l="1"/>
  <c r="G15"/>
  <c r="G37"/>
  <c r="G36"/>
  <c r="G35"/>
  <c r="G32"/>
  <c r="G31"/>
  <c r="G30"/>
  <c r="G26"/>
  <c r="G25"/>
  <c r="G21"/>
  <c r="G22" l="1"/>
  <c r="A2"/>
  <c r="G14" i="12" l="1"/>
  <c r="D23" i="14"/>
  <c r="F15" i="10" l="1"/>
  <c r="G8" s="1"/>
  <c r="E8"/>
  <c r="A3"/>
  <c r="A1"/>
  <c r="A3" i="8"/>
  <c r="A1"/>
  <c r="G17" i="12" l="1"/>
  <c r="G38" i="6" l="1"/>
  <c r="H19"/>
  <c r="D71" i="27"/>
  <c r="D64"/>
  <c r="D63"/>
  <c r="E15" i="14"/>
  <c r="D30"/>
  <c r="D37"/>
  <c r="D45"/>
  <c r="A1"/>
  <c r="D26" i="27"/>
  <c r="G34" i="12"/>
  <c r="G36" s="1"/>
  <c r="H9" s="1"/>
  <c r="A1" i="6"/>
  <c r="G15"/>
  <c r="G20"/>
  <c r="J47"/>
  <c r="A1" i="12"/>
  <c r="D57" i="27"/>
  <c r="D52"/>
  <c r="D47"/>
  <c r="D76"/>
  <c r="D95"/>
  <c r="D91"/>
  <c r="D69"/>
  <c r="C50" i="14"/>
  <c r="F33" i="27"/>
  <c r="F48"/>
  <c r="F22"/>
  <c r="I22" s="1"/>
  <c r="F30"/>
  <c r="F20"/>
  <c r="F77"/>
  <c r="F86"/>
  <c r="F85"/>
  <c r="F79"/>
  <c r="I79" s="1"/>
  <c r="I77"/>
  <c r="I20"/>
  <c r="I21" s="1"/>
  <c r="H76"/>
  <c r="D15"/>
  <c r="H15" s="1"/>
  <c r="H14"/>
  <c r="F11"/>
  <c r="F16"/>
  <c r="F19"/>
  <c r="F101" s="1"/>
  <c r="F28"/>
  <c r="F39"/>
  <c r="F47"/>
  <c r="F102" s="1"/>
  <c r="F54"/>
  <c r="F60"/>
  <c r="F65"/>
  <c r="F73"/>
  <c r="F76"/>
  <c r="F91"/>
  <c r="F95"/>
  <c r="H31"/>
  <c r="H20"/>
  <c r="H21" s="1"/>
  <c r="E20" i="14"/>
  <c r="D21" i="27"/>
  <c r="H35" i="6"/>
  <c r="H34"/>
  <c r="H14"/>
  <c r="C26" i="14"/>
  <c r="E26" s="1"/>
  <c r="F66" i="27" l="1"/>
  <c r="E11" i="10"/>
  <c r="G11" s="1"/>
  <c r="D53" i="27"/>
  <c r="H53" s="1"/>
  <c r="H54" s="1"/>
  <c r="D86"/>
  <c r="D79"/>
  <c r="D77"/>
  <c r="F33" i="6"/>
  <c r="H33" s="1"/>
  <c r="F33" i="12"/>
  <c r="H33" s="1"/>
  <c r="D39" i="14"/>
  <c r="D48" s="1"/>
  <c r="D52" s="1"/>
  <c r="E50" s="1"/>
  <c r="F87" i="27"/>
  <c r="F97" s="1"/>
  <c r="H16"/>
  <c r="D16"/>
  <c r="F21"/>
  <c r="F23" s="1"/>
  <c r="F103"/>
  <c r="F34"/>
  <c r="F49"/>
  <c r="G22" i="6"/>
  <c r="G40" s="1"/>
  <c r="G47" s="1"/>
  <c r="G51" s="1"/>
  <c r="F15" i="8" s="1"/>
  <c r="I80" i="27"/>
  <c r="F80"/>
  <c r="F16" i="12"/>
  <c r="D102" i="27"/>
  <c r="D60"/>
  <c r="D70"/>
  <c r="D84"/>
  <c r="F13" i="12"/>
  <c r="H13" s="1"/>
  <c r="I23" i="27"/>
  <c r="D101"/>
  <c r="F104"/>
  <c r="D33"/>
  <c r="F9" i="12" l="1"/>
  <c r="F26" i="6"/>
  <c r="H26" s="1"/>
  <c r="F59" i="33"/>
  <c r="F89" s="1"/>
  <c r="D54" i="27"/>
  <c r="C35" i="14" s="1"/>
  <c r="E35" s="1"/>
  <c r="F36" i="6"/>
  <c r="H36" s="1"/>
  <c r="D72" i="27"/>
  <c r="H72" s="1"/>
  <c r="H73" s="1"/>
  <c r="C56" i="14"/>
  <c r="C19"/>
  <c r="E19" s="1"/>
  <c r="F25" i="6"/>
  <c r="H25" s="1"/>
  <c r="F10"/>
  <c r="H10" s="1"/>
  <c r="F11"/>
  <c r="H11" s="1"/>
  <c r="F12"/>
  <c r="H12" s="1"/>
  <c r="D22" i="27"/>
  <c r="H22" s="1"/>
  <c r="H23" s="1"/>
  <c r="C16" i="15"/>
  <c r="G16" s="1"/>
  <c r="F31" i="6"/>
  <c r="H31" s="1"/>
  <c r="F30"/>
  <c r="H30" s="1"/>
  <c r="F29"/>
  <c r="H29" s="1"/>
  <c r="F37"/>
  <c r="H37" s="1"/>
  <c r="D48" i="27"/>
  <c r="H48" s="1"/>
  <c r="H49" s="1"/>
  <c r="D80"/>
  <c r="G30"/>
  <c r="G31" s="1"/>
  <c r="D83"/>
  <c r="D87" s="1"/>
  <c r="D97" s="1"/>
  <c r="F11" i="12"/>
  <c r="F32" i="6"/>
  <c r="H32" s="1"/>
  <c r="F9"/>
  <c r="H16" i="12"/>
  <c r="F13" i="6"/>
  <c r="H13" s="1"/>
  <c r="D73" i="27" l="1"/>
  <c r="D38"/>
  <c r="D39" s="1"/>
  <c r="C21" i="14"/>
  <c r="E21" s="1"/>
  <c r="F25" i="12"/>
  <c r="H25" s="1"/>
  <c r="D23" i="27"/>
  <c r="D49"/>
  <c r="C38" i="14"/>
  <c r="E38" s="1"/>
  <c r="H38" i="6"/>
  <c r="J38" s="1"/>
  <c r="H11" i="12"/>
  <c r="F14"/>
  <c r="F17" s="1"/>
  <c r="C43" i="14"/>
  <c r="F38" i="6"/>
  <c r="H9"/>
  <c r="F15"/>
  <c r="C44" i="14" l="1"/>
  <c r="E44" s="1"/>
  <c r="C36"/>
  <c r="E36" s="1"/>
  <c r="D62" i="27"/>
  <c r="D65" s="1"/>
  <c r="D66" s="1"/>
  <c r="C33" i="14" s="1"/>
  <c r="C55"/>
  <c r="C57" s="1"/>
  <c r="E13" i="8"/>
  <c r="G13" s="1"/>
  <c r="C28" i="14"/>
  <c r="E28" s="1"/>
  <c r="H15" i="6"/>
  <c r="E43" i="14"/>
  <c r="H14" i="12"/>
  <c r="H17" s="1"/>
  <c r="C45" i="14" l="1"/>
  <c r="F45" s="1"/>
  <c r="D104" i="27"/>
  <c r="F23" i="12"/>
  <c r="H23" s="1"/>
  <c r="D31" i="27"/>
  <c r="F18" i="6"/>
  <c r="E45" i="14"/>
  <c r="C37"/>
  <c r="E33"/>
  <c r="D30" i="27" l="1"/>
  <c r="H18" i="6"/>
  <c r="F20"/>
  <c r="F22" s="1"/>
  <c r="F40" s="1"/>
  <c r="E37" i="14"/>
  <c r="F28" i="12" l="1"/>
  <c r="H28" s="1"/>
  <c r="H20" i="6"/>
  <c r="H22" s="1"/>
  <c r="H40" s="1"/>
  <c r="C14" i="14"/>
  <c r="E14" s="1"/>
  <c r="H30" i="27" l="1"/>
  <c r="G13" i="10" l="1"/>
  <c r="G15" s="1"/>
  <c r="G7" i="8" l="1"/>
  <c r="G15" s="1"/>
  <c r="C46" i="33" l="1"/>
  <c r="E46"/>
  <c r="N46" s="1"/>
  <c r="E50" l="1"/>
  <c r="E55" s="1"/>
  <c r="C50"/>
  <c r="I46"/>
  <c r="E60" l="1"/>
  <c r="N60" s="1"/>
  <c r="I65"/>
  <c r="E62"/>
  <c r="N55"/>
  <c r="E63"/>
  <c r="H57"/>
  <c r="H61" s="1"/>
  <c r="E57"/>
  <c r="N50"/>
  <c r="I47"/>
  <c r="I50"/>
  <c r="C57"/>
  <c r="C61" s="1"/>
  <c r="C55"/>
  <c r="I66" l="1"/>
  <c r="I67"/>
  <c r="E61"/>
  <c r="N57"/>
  <c r="N61" l="1"/>
  <c r="E68"/>
  <c r="C111" i="57" l="1"/>
  <c r="F111"/>
  <c r="J27" i="33" s="1"/>
  <c r="J24" l="1"/>
  <c r="E111" i="57"/>
  <c r="J26" i="33" s="1"/>
  <c r="D111" i="57"/>
  <c r="J25" i="33" s="1"/>
  <c r="F38"/>
  <c r="H38" l="1"/>
  <c r="H40" s="1"/>
  <c r="J38"/>
  <c r="J40" s="1"/>
  <c r="J38" i="57" l="1"/>
  <c r="L38" s="1"/>
  <c r="F14" i="33" l="1"/>
  <c r="L14" l="1"/>
  <c r="F17"/>
  <c r="F21" s="1"/>
  <c r="F40" s="1"/>
  <c r="F97" s="1"/>
  <c r="F46" l="1"/>
  <c r="F50" s="1"/>
  <c r="F57" l="1"/>
  <c r="F61" s="1"/>
  <c r="F68" s="1"/>
  <c r="F88"/>
  <c r="F90" s="1"/>
  <c r="F52"/>
  <c r="H46"/>
  <c r="H50" s="1"/>
  <c r="F91" l="1"/>
  <c r="F92" s="1"/>
  <c r="H52"/>
  <c r="J46" l="1"/>
  <c r="J50" s="1"/>
  <c r="J52" l="1"/>
  <c r="D10" i="27" l="1"/>
  <c r="H10" s="1"/>
  <c r="H11" s="1"/>
  <c r="D27"/>
  <c r="H27" s="1"/>
  <c r="H28" s="1"/>
  <c r="H34" s="1"/>
  <c r="C29" i="14"/>
  <c r="E29" s="1"/>
  <c r="D11" i="27" l="1"/>
  <c r="D103"/>
  <c r="D28"/>
  <c r="D34" s="1"/>
  <c r="C27" i="14" l="1"/>
  <c r="C30" s="1"/>
  <c r="E27" l="1"/>
  <c r="E30" s="1"/>
  <c r="F30"/>
  <c r="F20" i="12" l="1"/>
  <c r="F43" i="6"/>
  <c r="H43" s="1"/>
  <c r="C17" i="14"/>
  <c r="E17" s="1"/>
  <c r="F45" i="6" l="1"/>
  <c r="H20" i="12"/>
  <c r="H45" i="6" l="1"/>
  <c r="H47" s="1"/>
  <c r="F47"/>
  <c r="F51" s="1"/>
  <c r="F55" s="1"/>
  <c r="F55" i="33" l="1"/>
  <c r="E13" i="10"/>
  <c r="E15" s="1"/>
  <c r="C9" i="14"/>
  <c r="F30" i="12"/>
  <c r="I48" i="6"/>
  <c r="H51"/>
  <c r="E7" i="8"/>
  <c r="E15" s="1"/>
  <c r="F34" i="12" l="1"/>
  <c r="F36" s="1"/>
  <c r="H30"/>
  <c r="H34" s="1"/>
  <c r="H36" s="1"/>
  <c r="C23" i="14"/>
  <c r="E9"/>
  <c r="E23" s="1"/>
  <c r="E39" s="1"/>
  <c r="E48" s="1"/>
  <c r="E52" s="1"/>
  <c r="F23" l="1"/>
  <c r="C39"/>
  <c r="F39" l="1"/>
  <c r="C48"/>
  <c r="F48" l="1"/>
  <c r="C52"/>
  <c r="C59" s="1"/>
</calcChain>
</file>

<file path=xl/comments1.xml><?xml version="1.0" encoding="utf-8"?>
<comments xmlns="http://schemas.openxmlformats.org/spreadsheetml/2006/main">
  <authors>
    <author>Farid.ahmed</author>
  </authors>
  <commentList>
    <comment ref="F84" authorId="0">
      <text>
        <r>
          <rPr>
            <b/>
            <sz val="8"/>
            <color indexed="81"/>
            <rFont val="Tahoma"/>
            <family val="2"/>
          </rPr>
          <t>Taimur:</t>
        </r>
        <r>
          <rPr>
            <sz val="8"/>
            <color indexed="81"/>
            <rFont val="Tahoma"/>
            <family val="2"/>
          </rPr>
          <t xml:space="preserve">
Re 1 Rounding Difference</t>
        </r>
      </text>
    </comment>
    <comment ref="F97" authorId="0">
      <text>
        <r>
          <rPr>
            <b/>
            <sz val="8"/>
            <color indexed="81"/>
            <rFont val="Tahoma"/>
            <family val="2"/>
          </rPr>
          <t>Taimur:</t>
        </r>
        <r>
          <rPr>
            <sz val="8"/>
            <color indexed="81"/>
            <rFont val="Tahoma"/>
            <family val="2"/>
          </rPr>
          <t xml:space="preserve">
Re 1 Rounding</t>
        </r>
      </text>
    </comment>
  </commentList>
</comments>
</file>

<file path=xl/sharedStrings.xml><?xml version="1.0" encoding="utf-8"?>
<sst xmlns="http://schemas.openxmlformats.org/spreadsheetml/2006/main" count="931" uniqueCount="558">
  <si>
    <t>Total outstanding at the beginning of the period</t>
  </si>
  <si>
    <t>through profit or loss - net</t>
  </si>
  <si>
    <t xml:space="preserve">investments classified as financial assets at fair value </t>
  </si>
  <si>
    <t xml:space="preserve">Element of income / (loss) and capital gains / (losses) included </t>
  </si>
  <si>
    <t>in prices of units issued less those in units redeemed</t>
  </si>
  <si>
    <t>Management Company</t>
  </si>
  <si>
    <t>Impairment</t>
  </si>
  <si>
    <t>Dividend distributed during the period</t>
  </si>
  <si>
    <t>Printing and related costs</t>
  </si>
  <si>
    <t>Net income from operating activities</t>
  </si>
  <si>
    <t>Provision for Workers' Welfare Fund</t>
  </si>
  <si>
    <t>Company</t>
  </si>
  <si>
    <t>TRANSACTIONS WITH CONNECTED PERSONS</t>
  </si>
  <si>
    <t>Distribution during the period</t>
  </si>
  <si>
    <t>(Increase) / decrease in assets</t>
  </si>
  <si>
    <t>NATIONAL INVESTMENT (UNIT) TRUST</t>
  </si>
  <si>
    <t>Directors and key management personnel</t>
  </si>
  <si>
    <t>Net Assets</t>
  </si>
  <si>
    <t xml:space="preserve">remeasurement of investments classified as </t>
  </si>
  <si>
    <t>'available for sale'</t>
  </si>
  <si>
    <t>Income from government securities</t>
  </si>
  <si>
    <t>Impairment loss on equity securities classified as 'available for sale'</t>
  </si>
  <si>
    <t>Others</t>
  </si>
  <si>
    <t xml:space="preserve">investments classified as financial assets 'at fair </t>
  </si>
  <si>
    <t>value through profit or loss'-net</t>
  </si>
  <si>
    <t>less: Payable on account of redemption of units</t>
  </si>
  <si>
    <t>Net cash inflow / (outflow) from financing activities</t>
  </si>
  <si>
    <t xml:space="preserve">Net increase in cash and cash equivalents </t>
  </si>
  <si>
    <t>Net income  after taxation</t>
  </si>
  <si>
    <t>Income from Govt. Securities</t>
  </si>
  <si>
    <t>Impairment loss on equities securities classified as 'available for sale'</t>
  </si>
  <si>
    <t xml:space="preserve">Unrealized gain on letters of rights </t>
  </si>
  <si>
    <t>Impairment loss on equity securities classified as 'AFS"</t>
  </si>
  <si>
    <t>Rupees in 000'</t>
  </si>
  <si>
    <t>CONDENSED INTERIM STATEMENT OF MOVEMENT IN UNIT HOLDERS' FUND (UNAUDITED)</t>
  </si>
  <si>
    <t>Difference</t>
  </si>
  <si>
    <t>as financial assets at fair value through profit or loss - net</t>
  </si>
  <si>
    <t>Net  income / (loss) from operations</t>
  </si>
  <si>
    <t xml:space="preserve">   issued less those in units redeemed</t>
  </si>
  <si>
    <t>Income before taxation</t>
  </si>
  <si>
    <t>Income  after taxation</t>
  </si>
  <si>
    <t>Net assets at the beginning</t>
  </si>
  <si>
    <t>Issue of units</t>
  </si>
  <si>
    <t xml:space="preserve">Issue of units under Cumulative Investment Plan </t>
  </si>
  <si>
    <t>Element of (income) and capital (gains) included in prices of units</t>
  </si>
  <si>
    <t>Hidden</t>
  </si>
  <si>
    <t xml:space="preserve">issued less those in units redeemed - transferred to income statement </t>
  </si>
  <si>
    <t>Net unrealised appreciation / (diminution) in fair value of securities classified</t>
  </si>
  <si>
    <t xml:space="preserve"> as 'available for sale ' </t>
  </si>
  <si>
    <t xml:space="preserve">Unrealised diminution on remeasurement of investments classified </t>
  </si>
  <si>
    <t>as financial assets at fair value through profit or loss-net</t>
  </si>
  <si>
    <t>Other net (loss) / income for the period</t>
  </si>
  <si>
    <t>Final distribution for the period</t>
  </si>
  <si>
    <t>Rupees 000'</t>
  </si>
  <si>
    <t>Deposit with Nccpl</t>
  </si>
  <si>
    <t>Fee payable to SECP</t>
  </si>
  <si>
    <t>units redeemed</t>
  </si>
  <si>
    <t>units sold</t>
  </si>
  <si>
    <t>Opening payable to NITL</t>
  </si>
  <si>
    <t>Closing payable to NITL</t>
  </si>
  <si>
    <t>Dividend income</t>
  </si>
  <si>
    <t>Dividend paid</t>
  </si>
  <si>
    <t>Total</t>
  </si>
  <si>
    <t>Investments</t>
  </si>
  <si>
    <t>Opening balance</t>
  </si>
  <si>
    <t>Closing balance</t>
  </si>
  <si>
    <t>Net asset value per unit</t>
  </si>
  <si>
    <t>less: Payable on account of issue of units</t>
  </si>
  <si>
    <t>Increase / (decrease) in payable</t>
  </si>
  <si>
    <t>Dividend Paid</t>
  </si>
  <si>
    <t>Opening unclaimed distribution</t>
  </si>
  <si>
    <t>Issue of CIP units</t>
  </si>
  <si>
    <t>Management fee paid</t>
  </si>
  <si>
    <t>Unrealised gain on letters of rights</t>
  </si>
  <si>
    <t>Net assets at the end of the period</t>
  </si>
  <si>
    <t>BANK BALANCES</t>
  </si>
  <si>
    <t>BASIS OF PREPARATION</t>
  </si>
  <si>
    <t>NUMBER OF UNITS IN ISSUE</t>
  </si>
  <si>
    <t>Income on issue and repurchase of units</t>
  </si>
  <si>
    <t>Management participation fee</t>
  </si>
  <si>
    <t>Financial charges</t>
  </si>
  <si>
    <t>EXPENSES</t>
  </si>
  <si>
    <t xml:space="preserve">Undistributed income carried forward </t>
  </si>
  <si>
    <t>Contingencies and commitments</t>
  </si>
  <si>
    <t xml:space="preserve">Increase / (decrease) in liabilities </t>
  </si>
  <si>
    <t>CASH FLOW FROM FINANCING ACTIVITIES</t>
  </si>
  <si>
    <t>Dividend and other receivable</t>
  </si>
  <si>
    <t>Less: provision against doubtful receivables</t>
  </si>
  <si>
    <t>Investment</t>
  </si>
  <si>
    <t>DATE OF AUTHORISATION FOR ISSUE</t>
  </si>
  <si>
    <t>INVESTMENTS</t>
  </si>
  <si>
    <t>Creditors, accrued and other liabilities</t>
  </si>
  <si>
    <t>LIABILITIES</t>
  </si>
  <si>
    <t>NET ASSETS</t>
  </si>
  <si>
    <t>INCOME</t>
  </si>
  <si>
    <t>Taxation</t>
  </si>
  <si>
    <t>CASH FLOWS FROM OPERATING ACTIVITIES</t>
  </si>
  <si>
    <t xml:space="preserve">   Managing Director                                                           Director                                                                     Director</t>
  </si>
  <si>
    <t xml:space="preserve">Adjustments: </t>
  </si>
  <si>
    <t>Management Participation fee paid</t>
  </si>
  <si>
    <t>Net cash inflow / (outflow) from operating activities</t>
  </si>
  <si>
    <t>Opening payable</t>
  </si>
  <si>
    <t>Closing payable</t>
  </si>
  <si>
    <t>Net (payments)/receipts made against repurchase of units</t>
  </si>
  <si>
    <t>Preliminary charges and handling fee</t>
  </si>
  <si>
    <t xml:space="preserve">Provision for impairment loss on other receivables </t>
  </si>
  <si>
    <t>Undistributed income brought forward</t>
  </si>
  <si>
    <t>Provision for impairment loss on other receivables</t>
  </si>
  <si>
    <t>Unrealised gain / (loss) on investment - HFT</t>
  </si>
  <si>
    <t>Printing charges</t>
  </si>
  <si>
    <t>Others-Workers' Welfare Fund</t>
  </si>
  <si>
    <t>Redemption of units</t>
  </si>
  <si>
    <t>Transactions during the period</t>
  </si>
  <si>
    <t>National Bank of Pakistan - Trustee</t>
  </si>
  <si>
    <t>Net amount received / (paid) on issue of units</t>
  </si>
  <si>
    <t>GENERAL</t>
  </si>
  <si>
    <t>Statement of compliance</t>
  </si>
  <si>
    <t>Unrealised gain / (loss) on investment -AFS</t>
  </si>
  <si>
    <t>Payable to management company</t>
  </si>
  <si>
    <t>less: Management participation fee</t>
  </si>
  <si>
    <t>CASH FLOW STATEMENT-WORKING</t>
  </si>
  <si>
    <t>Payable to selling banks</t>
  </si>
  <si>
    <t>Dividend and other receivables</t>
  </si>
  <si>
    <t>Total assets</t>
  </si>
  <si>
    <t>Total liabilities</t>
  </si>
  <si>
    <t>Number of units in issue</t>
  </si>
  <si>
    <t>Other comprehensive income</t>
  </si>
  <si>
    <t>less: Management participation fee payable</t>
  </si>
  <si>
    <t>Other payables</t>
  </si>
  <si>
    <t>CONDENSED INTERIM STATEMENT OF COMPREHENSIVE INCOME (UNAUDITED)</t>
  </si>
  <si>
    <t>CONDENSED INTERIM DISTRIBUTION STATEMENT (UNAUDITED)</t>
  </si>
  <si>
    <t>CASH FLOWS FROM FINANCING ACTIVITIES</t>
  </si>
  <si>
    <t>CONDENSED INTERIM INCOME STATEMENT</t>
  </si>
  <si>
    <t>CONDENSED INTERIM CASH FLOW STATEMENT</t>
  </si>
  <si>
    <t>Bank balances</t>
  </si>
  <si>
    <t>Profit on bank deposits</t>
  </si>
  <si>
    <t>Other income</t>
  </si>
  <si>
    <t>Receivable from Selling Banks</t>
  </si>
  <si>
    <t>Short-term finances</t>
  </si>
  <si>
    <t xml:space="preserve">Legal and professional charges </t>
  </si>
  <si>
    <t>LEGAL STATUS AND NATURE OF BUSINESS</t>
  </si>
  <si>
    <t>(Unaudited)</t>
  </si>
  <si>
    <t>Net assets at the beginning of the period</t>
  </si>
  <si>
    <t>Cash and cash equivalents at the beginning of the period</t>
  </si>
  <si>
    <t>Cash and cash equivalents as at the end of the period</t>
  </si>
  <si>
    <t>Securities transaction costs</t>
  </si>
  <si>
    <t>Note</t>
  </si>
  <si>
    <t>ASSETS</t>
  </si>
  <si>
    <t>Custodian charges of Central Depository Company of Pakistan Limited</t>
  </si>
  <si>
    <t>National Investment Trust Limited Provident Fund</t>
  </si>
  <si>
    <t>National Investment Trust Limited Pension Fund</t>
  </si>
  <si>
    <t xml:space="preserve">Payable to National Investment Trust Limited </t>
  </si>
  <si>
    <t xml:space="preserve">Fee payable to Securities and Exchange Commission </t>
  </si>
  <si>
    <t>of Pakistan</t>
  </si>
  <si>
    <t>Capital gains</t>
  </si>
  <si>
    <t>Settlement and bank charges</t>
  </si>
  <si>
    <t>Annual fee - Securities and Exchange Commission of Pakistan</t>
  </si>
  <si>
    <t>Market value of investments</t>
  </si>
  <si>
    <t xml:space="preserve">Element of (income) / loss and capital (gains) / losses included </t>
  </si>
  <si>
    <t xml:space="preserve">Receivable from National Investment Trust Limited - </t>
  </si>
  <si>
    <t xml:space="preserve">Payable to National Investment Trust Limited - Management </t>
  </si>
  <si>
    <t xml:space="preserve">Fee payable to Securities and Exchange Commission of </t>
  </si>
  <si>
    <t>Pakistan</t>
  </si>
  <si>
    <t>during the period</t>
  </si>
  <si>
    <t>FOR THE HALF YEAR AND QUARTER ENDED DECEMBER 31, 2011</t>
  </si>
  <si>
    <t>Receivable against sale of investments</t>
  </si>
  <si>
    <t>Nil units issued (2010: Nil units)</t>
  </si>
  <si>
    <t>(2010: 47,455 units)</t>
  </si>
  <si>
    <t xml:space="preserve">61,858 units issued under CIP </t>
  </si>
  <si>
    <t>Receivable against sale of investment</t>
  </si>
  <si>
    <t>-------------------Rupees in '000-------------------</t>
  </si>
  <si>
    <t>Rupees in '000</t>
  </si>
  <si>
    <t>Income</t>
  </si>
  <si>
    <t>Net (increase) / decrease in market value of investments</t>
  </si>
  <si>
    <t>RELATED PARTY QUARTER WORKING</t>
  </si>
  <si>
    <t>For the half year ended December 31, 2011</t>
  </si>
  <si>
    <t>Quarter ended September 30, 2011</t>
  </si>
  <si>
    <t>Quarter ended December 31, 2011</t>
  </si>
  <si>
    <t>A</t>
  </si>
  <si>
    <t>B</t>
  </si>
  <si>
    <t>C=A-B</t>
  </si>
  <si>
    <t>National Investment Trust Limited - Management</t>
  </si>
  <si>
    <t>Sale of shares</t>
  </si>
  <si>
    <t>Purchase of 295,169 shares (Sep2011: 175,000 shares)</t>
  </si>
  <si>
    <t>7,490 units issued under CIP (2010:4,634 units)</t>
  </si>
  <si>
    <t>39,451 units issued under CIP (2010: 21.966 units)</t>
  </si>
  <si>
    <t>6,355,488 CIP units issued (2010: 3,566,755 units)</t>
  </si>
  <si>
    <t>--------------------------Rs in '000-------------------------</t>
  </si>
  <si>
    <t>Mgt fee for the year</t>
  </si>
  <si>
    <t>Net income for the period after taxation</t>
  </si>
  <si>
    <t xml:space="preserve">Unrealised (diminution) / appreciation on remeasurement of </t>
  </si>
  <si>
    <t xml:space="preserve">Net unrealised (diminution) / appreciation on </t>
  </si>
  <si>
    <t xml:space="preserve">Unrealised appreciation on remeasurement of </t>
  </si>
  <si>
    <t>Quarter Working</t>
  </si>
  <si>
    <t>Total comprehensive (loss) / income for the period</t>
  </si>
  <si>
    <t xml:space="preserve">Net income for the period after taxation </t>
  </si>
  <si>
    <t>Net (payments) / receipts made against (redemption) / sales of units</t>
  </si>
  <si>
    <t>Sindh Sales Tax on Management Fee</t>
  </si>
  <si>
    <t>----------------------------Rupees in '000---------------------------</t>
  </si>
  <si>
    <t>Sindh sales tax on remuneration of Management Company</t>
  </si>
  <si>
    <t>Payable against purchase of investments</t>
  </si>
  <si>
    <t>Sale tax payable</t>
  </si>
  <si>
    <t>QTR MAR</t>
  </si>
  <si>
    <t>HA 2012</t>
  </si>
  <si>
    <t>Quater Ended March 31' 2013</t>
  </si>
  <si>
    <t>done</t>
  </si>
  <si>
    <t>Half Year Ended December 31' 2012</t>
  </si>
  <si>
    <t>Unrealised (diminution)/appreciation on remeasurement of investments classified</t>
  </si>
  <si>
    <t xml:space="preserve">Final distribution for the year ended June 30, 2012: Rs 3.50 </t>
  </si>
  <si>
    <t>per unit (2011: Rs. 4 per unit)</t>
  </si>
  <si>
    <t>FOR THE HALF YEAR AND QUARTER ENDED DECEMBER 31, 2012</t>
  </si>
  <si>
    <t>Net payments made against sales of units</t>
  </si>
  <si>
    <t xml:space="preserve">Unrealised appreciation / (diminution) on remeasurement of </t>
  </si>
  <si>
    <t>TOTAL</t>
  </si>
  <si>
    <t xml:space="preserve">  </t>
  </si>
  <si>
    <t>Net income /(Loss) for the period before taxation</t>
  </si>
  <si>
    <t>Net income /(Loss)  for the period after taxation</t>
  </si>
  <si>
    <t>Earning / (Loss) per unit</t>
  </si>
  <si>
    <t>FOR THE NINE MONTHS AND QUARTER ENDED MARCH 31, 2014</t>
  </si>
  <si>
    <t>Quater Ended March 31' 2014</t>
  </si>
  <si>
    <t>Half Year Ended December 31' 2013</t>
  </si>
  <si>
    <t>FED</t>
  </si>
  <si>
    <t>CDC</t>
  </si>
  <si>
    <t>On account of:</t>
  </si>
  <si>
    <t>Federal Excise Duty on Management Company Remunaration</t>
  </si>
  <si>
    <t>Remunaration of National Investment Trust Limited -Management Company</t>
  </si>
  <si>
    <t>--- Rupees ---</t>
  </si>
  <si>
    <t xml:space="preserve">INCOME STATEMENT </t>
  </si>
  <si>
    <t>Trustee Fee- Central Depository Company of Pakistan Limited</t>
  </si>
  <si>
    <t>Legal &amp; Professional Charges</t>
  </si>
  <si>
    <t>Payable to Central Depository Company of Pakistan Limited - Trustee</t>
  </si>
  <si>
    <t>Figures have been rounded off to the nearest thousand rupees unless otherwise specified.</t>
  </si>
  <si>
    <t xml:space="preserve">Auditors' remuneration </t>
  </si>
  <si>
    <t>Bal</t>
  </si>
  <si>
    <t>Legal &amp; Prefessional Charges</t>
  </si>
  <si>
    <t xml:space="preserve">Rupees </t>
  </si>
  <si>
    <t>QTR ended SEP' 2014</t>
  </si>
  <si>
    <t>Payable to Central Depository Company of Pakistan Limited-Trustee</t>
  </si>
  <si>
    <t>Receivable against subscription of shares</t>
  </si>
  <si>
    <t>CONDENSED INTERIM STATEMENT OF ASSETS AND LIABILITIES</t>
  </si>
  <si>
    <t xml:space="preserve">CONDENSED INTERIM INCOME STATEMENT </t>
  </si>
  <si>
    <t xml:space="preserve">CONDENSED INTERIM STATEMENT OF COMPREHENSIVE INCOME </t>
  </si>
  <si>
    <t xml:space="preserve">CONDENSED INTERIM CASH FLOW STATEMENT </t>
  </si>
  <si>
    <t xml:space="preserve">NOTES TO AND FORMING PART OF THE CONDENSED INTERIM FINANCIAL INFORMATION </t>
  </si>
  <si>
    <t>Dividend and profit receivables</t>
  </si>
  <si>
    <t>SECP Registration Fee</t>
  </si>
  <si>
    <t>Net income without Capital Gains</t>
  </si>
  <si>
    <t xml:space="preserve">EPU without Unrealized Gains </t>
  </si>
  <si>
    <t xml:space="preserve">EPU without Realized Capital Gains </t>
  </si>
  <si>
    <t xml:space="preserve">EPU with Realized &amp; Unrealized Capital Gains </t>
  </si>
  <si>
    <t>EPU without Realized Capital Gains &amp; Unrealized Gains</t>
  </si>
  <si>
    <t>NIT ISLAMIC EQUITY FUND</t>
  </si>
  <si>
    <t>Net Asset Reconciliation</t>
  </si>
  <si>
    <t>Amortization of Formation Cost</t>
  </si>
  <si>
    <t>NIT Islamic PENSION FUND</t>
  </si>
  <si>
    <t>NIT ISLAMIC PENSION FUND</t>
  </si>
  <si>
    <t>NIT IPF Equity Sub Fund</t>
  </si>
  <si>
    <t>NIT IPF Debt Sub Fund</t>
  </si>
  <si>
    <t>NIT IPF Money Market Sub Fund</t>
  </si>
  <si>
    <t>MF</t>
  </si>
  <si>
    <t>GST</t>
  </si>
  <si>
    <t>TF</t>
  </si>
  <si>
    <t>SECP</t>
  </si>
  <si>
    <t>DEPOSITS</t>
  </si>
  <si>
    <t>PURCHASES</t>
  </si>
  <si>
    <t>transfer</t>
  </si>
  <si>
    <t>Investment in Equity Securities</t>
  </si>
  <si>
    <t>Investment in Equity Reverse Repo</t>
  </si>
  <si>
    <t>Investment in Debt Securities</t>
  </si>
  <si>
    <t>Investment in Government Securities</t>
  </si>
  <si>
    <t>Investment in Money Market Securities</t>
  </si>
  <si>
    <t>Investment in Future Securities</t>
  </si>
  <si>
    <t>Markup on Debt Securities</t>
  </si>
  <si>
    <t>Income from MM securities</t>
  </si>
  <si>
    <t>Payable against Purchase of investments</t>
  </si>
  <si>
    <t>---------------------------------Rupees---------------------------------</t>
  </si>
  <si>
    <t>Market Value</t>
  </si>
  <si>
    <t>OIL AND GAS MARKETING COMPANIES</t>
  </si>
  <si>
    <t>PPL</t>
  </si>
  <si>
    <t>PSO</t>
  </si>
  <si>
    <t>FERTILIZER</t>
  </si>
  <si>
    <t>EFERT</t>
  </si>
  <si>
    <t>ENGRO</t>
  </si>
  <si>
    <t>FFBL</t>
  </si>
  <si>
    <t>FFC</t>
  </si>
  <si>
    <t>CEMENT</t>
  </si>
  <si>
    <t>FCCL</t>
  </si>
  <si>
    <t>LUCK</t>
  </si>
  <si>
    <t>FOOD &amp; PERSONAL CARE PRODUCERS</t>
  </si>
  <si>
    <t>EFOODS</t>
  </si>
  <si>
    <t>PHARMACEUTICALS</t>
  </si>
  <si>
    <t>ABOT</t>
  </si>
  <si>
    <t>FEROZ</t>
  </si>
  <si>
    <t>SEARL</t>
  </si>
  <si>
    <t>POWER GENERATIN &amp; DISTRIBUTION</t>
  </si>
  <si>
    <t>HUBC</t>
  </si>
  <si>
    <t>KAPCO</t>
  </si>
  <si>
    <t>AUTOMOBILE ASSEMBLER</t>
  </si>
  <si>
    <t>HCAR</t>
  </si>
  <si>
    <t>INDU</t>
  </si>
  <si>
    <t>PSMC</t>
  </si>
  <si>
    <t>Individuals</t>
  </si>
  <si>
    <t>Formation Cost</t>
  </si>
  <si>
    <t>Auditors' Remuneration</t>
  </si>
  <si>
    <t>-------------------Rupees----------------------</t>
  </si>
  <si>
    <t>Equity Sub Fund</t>
  </si>
  <si>
    <t>Debt Sub Fund</t>
  </si>
  <si>
    <t xml:space="preserve"> Money Market Sub Fund</t>
  </si>
  <si>
    <t>-----------------------Rupees in '000--------------------------</t>
  </si>
  <si>
    <t>Security deposits</t>
  </si>
  <si>
    <t>Payable to Securities and Exchange Commission of Pakistan</t>
  </si>
  <si>
    <t>Accrued expenses and other liabilities</t>
  </si>
  <si>
    <t>Participants' funds (as per statement attached)</t>
  </si>
  <si>
    <t>---------------------------------------------(Rupees in '000)--------------------------------------------</t>
  </si>
  <si>
    <t>Title to the assets of the Fund are held in the name of CDC as the trustee of the Fund.</t>
  </si>
  <si>
    <t>Available for sale investments</t>
  </si>
  <si>
    <t>NIT Islamic Pension Fund ("the Fund") was established under a Trust Deed executed between National Investment Trust</t>
  </si>
  <si>
    <t>Limited as Pension Fund Manager and Central Depository Company of Pakistan Limited (CDC) as trustee. The Fund was</t>
  </si>
  <si>
    <t>approved by the Securities and Exchange Commission of Pakistan (SECP) on 30 April 2015 and the Trust Deed was</t>
  </si>
  <si>
    <t>executed on 14 May 2015.</t>
  </si>
  <si>
    <t>National Investment Trust Limited has been licensed to act as a Pension Fund Manager under the Voluntary Pension</t>
  </si>
  <si>
    <t>Scheme Rules, 2005 through a certifcate of registration issued by SECP. The registered office of the Pension Fund Manager</t>
  </si>
  <si>
    <t xml:space="preserve">is situated at 6th floor, National Bank of Pakistan Building I.I. Chundrigar Road, Karachi. </t>
  </si>
  <si>
    <t>The Fund is an unlisted pension scheme and offers units for public subscription on a continuous basis. The units are</t>
  </si>
  <si>
    <t>non-transferable except in the circumstances mentioned in VPS Rules and can be redeemed by surrendering to the Fund.</t>
  </si>
  <si>
    <t>Further, as per the offering document, no distribution of income or dividend is allowed from any of the sub-funds.</t>
  </si>
  <si>
    <t>The Fund has been formed to enable the participants to contribute in a diversified portfolio of securities, which are Shariah</t>
  </si>
  <si>
    <t>compliant. Under the Trust Deed, all the conducts and acts of the Fund are based on Shariah. The Pension Fund Manager</t>
  </si>
  <si>
    <t>has appointed Mufti Zeeshan Ali Aziz as Shariah Advisor to the Pension Fund to ensure that the activities of the Fund are in</t>
  </si>
  <si>
    <t xml:space="preserve">compliance with the principles of shariah. </t>
  </si>
  <si>
    <t>The Fund received Seed Capital from the Pension Fund Manager amouting to Rs. 225 million (i.e. Rs. 75 million in each</t>
  </si>
  <si>
    <t>Sub-Fund) on 16 June 2015 against which 22.5 million units, at the offer price of Rs. 10 per unit, were issued (i.e. 7.5 million</t>
  </si>
  <si>
    <t>of each Sub-Fund). Accordingly, the Fund commenced its operations from 16 June 2015.</t>
  </si>
  <si>
    <t>PACRA has maintained an asset manager rating of "AM2" to the Pension Fund Manager while the fund is currently not rated.</t>
  </si>
  <si>
    <t>PAYABLE TO NATIONAL INVESTMENT TRUST LIMITED - PENSION FUND MANAGER</t>
  </si>
  <si>
    <t>Payable to National Investment Trust Limited - Pension Fund Manager</t>
  </si>
  <si>
    <t xml:space="preserve">  Sindh Sales Tax</t>
  </si>
  <si>
    <t xml:space="preserve">  Preliminary expenses and floataion cost</t>
  </si>
  <si>
    <t xml:space="preserve">  Security deposits</t>
  </si>
  <si>
    <t xml:space="preserve">  Others</t>
  </si>
  <si>
    <t>ACCRUED EXPENSES AND OTHER LIABILITIES</t>
  </si>
  <si>
    <t>Auditors' remuneration</t>
  </si>
  <si>
    <t xml:space="preserve">Brokerage </t>
  </si>
  <si>
    <t>Units issued during the period</t>
  </si>
  <si>
    <t>Weighted average number of units in issue during the period</t>
  </si>
  <si>
    <t>CONTRIBUTION TABLE</t>
  </si>
  <si>
    <t>Money Market Sub Fund</t>
  </si>
  <si>
    <t xml:space="preserve">Federal Excise Duty                                  </t>
  </si>
  <si>
    <t>Contributions received during the quarter are as follows:</t>
  </si>
  <si>
    <t>(Units)</t>
  </si>
  <si>
    <t>(Rs. "000)</t>
  </si>
  <si>
    <t>------------------------------Rupees in '000-------------------------</t>
  </si>
  <si>
    <t>National Investment Trust Limited - Pension Fund Manager</t>
  </si>
  <si>
    <t>Sindh Sales Tax on pension fund manager remuneration</t>
  </si>
  <si>
    <t>Central Depository Company of Pakistan Limited - Trustee of the Fund</t>
  </si>
  <si>
    <t>Trustee remuneration for the quarter</t>
  </si>
  <si>
    <t>CDC charges for the quarter</t>
  </si>
  <si>
    <t>Directors and Key Management Personnel</t>
  </si>
  <si>
    <t>Amount outstanding as at period end</t>
  </si>
  <si>
    <t>Units held</t>
  </si>
  <si>
    <t>Trustee remuneration  payable</t>
  </si>
  <si>
    <t>For National Investment Trust Limited</t>
  </si>
  <si>
    <t>(Pension Fund Manager)</t>
  </si>
  <si>
    <t>Managing Director                                                                                                                        Director                                                                                                         Director</t>
  </si>
  <si>
    <t xml:space="preserve"> For National Investment Trust Limited</t>
  </si>
  <si>
    <t xml:space="preserve">   (Pension Fund Manager)</t>
  </si>
  <si>
    <t xml:space="preserve">   Managing Director                                                                                   Director                                                                      Director</t>
  </si>
  <si>
    <t>-------------------------(Unaudited)--------------------------</t>
  </si>
  <si>
    <t>-----------------------------Rupees in '000-------------------------------</t>
  </si>
  <si>
    <t xml:space="preserve">Net unrealised (diminution) / appreciation on  </t>
  </si>
  <si>
    <t xml:space="preserve">as 'available for sale' </t>
  </si>
  <si>
    <t xml:space="preserve">re-measurement of investments classified </t>
  </si>
  <si>
    <t xml:space="preserve">   ' - net of impairment</t>
  </si>
  <si>
    <t>Less: Carrying value of investments</t>
  </si>
  <si>
    <t>Amounts of unit held</t>
  </si>
  <si>
    <t>Prelimininary expenses and floatation cost payable</t>
  </si>
  <si>
    <t>Security deposit paid on behalf of the Fund-payable</t>
  </si>
  <si>
    <t>Other payable</t>
  </si>
  <si>
    <t>Amount of units issued</t>
  </si>
  <si>
    <t>Net income for the period before taxation</t>
  </si>
  <si>
    <t>Payable to charity</t>
  </si>
  <si>
    <t>NITIPF EQUITY SUB FUND</t>
  </si>
  <si>
    <t>INVESTMENT - AVAILABLE FOR SALE</t>
  </si>
  <si>
    <t>#</t>
  </si>
  <si>
    <t>Name of Investee Companies</t>
  </si>
  <si>
    <t>Code</t>
  </si>
  <si>
    <t>Sector</t>
  </si>
  <si>
    <t>As at 01 July 2015</t>
  </si>
  <si>
    <t>Purchases during the period</t>
  </si>
  <si>
    <t>Bonus shares received during the period</t>
  </si>
  <si>
    <t>Right shares purchased/ subscribed during the period</t>
  </si>
  <si>
    <t>Sale              during the period</t>
  </si>
  <si>
    <t>Market Value as a percentage of investment</t>
  </si>
  <si>
    <t>Percentage of paid-up capital of the investee company held</t>
  </si>
  <si>
    <t>-----Rupees in '000--------</t>
  </si>
  <si>
    <t>AUTOMOBILE ASSEMBLER Total</t>
  </si>
  <si>
    <t>CEMENT Total</t>
  </si>
  <si>
    <t>MEBL</t>
  </si>
  <si>
    <t>COMMERCIAL BANKS</t>
  </si>
  <si>
    <t>COMMERCIAL BANKS Total</t>
  </si>
  <si>
    <t>FERTILIZER Total</t>
  </si>
  <si>
    <t>FOOD &amp; PERSONAL CARE PRODUCERS Total</t>
  </si>
  <si>
    <t>OIL AND GAS MARKETING COMPANIES Total</t>
  </si>
  <si>
    <t>PHARMACEUTICALS Total</t>
  </si>
  <si>
    <t>POWER GENERATIN &amp; DISTRIBUTION Total</t>
  </si>
  <si>
    <t>Grand Total</t>
  </si>
  <si>
    <t>investments classified as 'available for sale'</t>
  </si>
  <si>
    <t>Gain on sale of investments-net</t>
  </si>
  <si>
    <t>Investment - available for sale - other than government securities</t>
  </si>
  <si>
    <t>Symbol</t>
  </si>
  <si>
    <t>SEARLR</t>
  </si>
  <si>
    <t>Shariah Advisory Fee</t>
  </si>
  <si>
    <t>Units redemed during the period</t>
  </si>
  <si>
    <t>-------------------------------------------------------------------------December 31, 2015--------------------------------------------------------------</t>
  </si>
  <si>
    <t>Amount of units redeemed</t>
  </si>
  <si>
    <t>Sindh sales tax on remuneration of Pension Fund Manager</t>
  </si>
  <si>
    <t>Federal Excise Duty on Pension Fund Manager Remunaration</t>
  </si>
  <si>
    <t>Remuneration of National Investment Trust Limited -Pension Fund Manager</t>
  </si>
  <si>
    <t>- Pension Fund Manager</t>
  </si>
  <si>
    <t>-----------------------------------------------------------------------(Rupees in '000)---------------------------------------------------------</t>
  </si>
  <si>
    <t>30 June 2015 Audited</t>
  </si>
  <si>
    <t>Allocation of expenses related to registrar services,</t>
  </si>
  <si>
    <t xml:space="preserve">     accounting, operation and valuation services</t>
  </si>
  <si>
    <t>Equity Sub- Fund</t>
  </si>
  <si>
    <t xml:space="preserve"> Money Market Sub-Fund</t>
  </si>
  <si>
    <t>Debt Sub-Fund</t>
  </si>
  <si>
    <t>----------------------------------------------------------------Rupees in '000------------------------------------------------</t>
  </si>
  <si>
    <t>PAYABLE TO THE CENTRAL DEPOSITOTY COMPANY OF PAKISTAN-TRUSTEE</t>
  </si>
  <si>
    <t>The Sindh Provincial Government levied Sindh Sales Tax at the rate of 15% on the remuneration of the Management Company through Sindh Sales Tax on Services Act, 2011, effective from 1 July 2014. However, the rate has been revised from 15% to 14% effective from 1 July 2015.</t>
  </si>
  <si>
    <t>Trustee Remuneration</t>
  </si>
  <si>
    <t>Sindh Sales Tax</t>
  </si>
  <si>
    <t>As per the requirement of Finance Act 2015, Sindh Sales Tax (SST) at the rate of 14% on the remuneration of the Trustee has been applied effective from 1 July 2015.</t>
  </si>
  <si>
    <t>Remuneration of Central Depository Company of Pakistan Limited-Trustee</t>
  </si>
  <si>
    <t>Sindh Sales Tax on Trustee Fee</t>
  </si>
  <si>
    <t>Amortization of preliminary expenses and floatation costs</t>
  </si>
  <si>
    <t>Three months period ended</t>
  </si>
  <si>
    <t xml:space="preserve">-------------------------------------------------------------- (Number of units)--------------------------------------------------------------------- </t>
  </si>
  <si>
    <t>----------------------------------------------------------------(Number)------------------------------------------------</t>
  </si>
  <si>
    <t>---------------------------------------------------------------------Rupees in '000------------------------------------------------------------</t>
  </si>
  <si>
    <t>Connected persons include National Investment Trust Limited being the Pension Fund Manager, Central Depository Company of Pakistan Limited being the Trustee, other collective investment schemes managed by the Pension Fund Manager, any person or company beneficially owning directly or indirectly ten percent or more of the capital of the Pension Fund Manager or the net assets of the Fund and directors and officers of the Pension Fund Manager and unit holders holding 10 percent or more units of the Fund.</t>
  </si>
  <si>
    <t>Transactions with connected persons are in the normal course of business, at contracted rates and terms determined in accordance with market rates.</t>
  </si>
  <si>
    <t>Remuneration payable to Pension Fund Manager and the Trustee is determined in accordance with the provisions of the Voluntary Pension System Rules, 2005 and the Trust Deed respectively.</t>
  </si>
  <si>
    <t>Details of the transactions with connected persons and balances with them, if not disclosed elsewhere in these financial statements are as follows:</t>
  </si>
  <si>
    <t xml:space="preserve">Net Assets </t>
  </si>
  <si>
    <t>AS AT MARCH 31, 2016</t>
  </si>
  <si>
    <t>31 March 2016 Unaudited</t>
  </si>
  <si>
    <t>FOR THE NINE AND THREE MONTHS PERIOD ENDED MARCH 31, 2016 (Unaudited)</t>
  </si>
  <si>
    <t>Three months period ended 31 March 2016</t>
  </si>
  <si>
    <t>Nine months period ended 31 March 2016</t>
  </si>
  <si>
    <t>Total expenses</t>
  </si>
  <si>
    <t>Net (loss)/ income from operating activities</t>
  </si>
  <si>
    <t>(Loss)/ earnings per unit - basic and diluted</t>
  </si>
  <si>
    <t>FOR THE NINE MONTHS PERIOD ENDED MARCH 31, 2016 (Unaudited)</t>
  </si>
  <si>
    <t xml:space="preserve">CONDENDSED INTERIM STATEMENT OF MOVEMENT IN PARTICIPANTS' FUND </t>
  </si>
  <si>
    <t>Amount received on issuance of units</t>
  </si>
  <si>
    <t>Amount paid on redemption of units</t>
  </si>
  <si>
    <t>---------------------------Nine months period ended March 31, 2016---------------------------</t>
  </si>
  <si>
    <t>SIGNIFICANT ACCOUNTING POLICIES</t>
  </si>
  <si>
    <t>The accounting policies adopted for the preparation of the condensed interim financial information are the same as those applied in</t>
  </si>
  <si>
    <t>the preparation of the annual financial statements of the Fund for the year, ended 30 June 2015.</t>
  </si>
  <si>
    <t>ESTIMATES AND JUDGEMENTS</t>
  </si>
  <si>
    <t>The preparation of condensed interim financial information requires management to make judgements, estimates and assumption</t>
  </si>
  <si>
    <t>that affect the application of accounting policies and reported amount of assets and liabilities, income and expenses. Actual result</t>
  </si>
  <si>
    <t>may differ from these estimates.</t>
  </si>
  <si>
    <t>The significant judgements made by management in applying the accounting policies and the key sources of estimation uncertainty</t>
  </si>
  <si>
    <t>were the same as those that applied to financial statements as at and for the year ended 30 June 2015.</t>
  </si>
  <si>
    <t>This condensed interim financial information has been prepared in accordance with the requirements of the International Accounting</t>
  </si>
  <si>
    <t>Standard 34 - Interim Financial Reporting and provisions of and directives issued under the Companies Ordinance, 1984, the</t>
  </si>
  <si>
    <t>Voluntary Pension Rules, 2005 (the VPS Rules), and directives issued by the Securities and Exchange Commission of Pakistan</t>
  </si>
  <si>
    <t>(SECP). Wherever the requirements of the VPS Rules or directives issued by the SECP differ with the requirements of the IFRS, the</t>
  </si>
  <si>
    <t>requirements of the VPS Rules or the directives issued by the SECP shall prevail.</t>
  </si>
  <si>
    <t>The condensed interim financial information does not include all the information and disclosures required in the annual financial</t>
  </si>
  <si>
    <t>statements and should therefore be read in conjunction with the financial statements of the Fund for the year ended 30 June 2015.</t>
  </si>
  <si>
    <r>
      <t>Savings accounts                 5</t>
    </r>
    <r>
      <rPr>
        <i/>
        <sz val="9"/>
        <rFont val="Arial"/>
        <family val="2"/>
      </rPr>
      <t xml:space="preserve">.1 </t>
    </r>
  </si>
  <si>
    <r>
      <t>Listed Equity Securities         6</t>
    </r>
    <r>
      <rPr>
        <i/>
        <sz val="9"/>
        <rFont val="Arial"/>
        <family val="2"/>
      </rPr>
      <t>.1</t>
    </r>
  </si>
  <si>
    <t>As at March 31, 2016</t>
  </si>
  <si>
    <t>Cost/ Carrying value ast at March  31, 2016</t>
  </si>
  <si>
    <t>Market Value as at March 31, 2016</t>
  </si>
  <si>
    <t>Remuneration of Pension Fund Manager</t>
  </si>
  <si>
    <t>As per rule 11 of the Voluntary Pension System Rules, 2005, the Pension Fund Manager has charged its remuneration at the rate of 1.5 percent per annum of the average annual net assets of each of the Sub-Fund for the current period. The remuneration is paid on monthly basis in arrears.</t>
  </si>
  <si>
    <t>CONTINGENCIES AND COMMITMENTS</t>
  </si>
  <si>
    <t>There were no contingenices and commitments as at 31 March 2016 and 30 June 2015</t>
  </si>
  <si>
    <t>31 March 2016  Unaudited</t>
  </si>
  <si>
    <t>Nine months period ended</t>
  </si>
  <si>
    <t>(LOSS)/ EARNINGS PER UNIT - BASIC AND DILUTED</t>
  </si>
  <si>
    <t>Net (loss)/ income for the period</t>
  </si>
  <si>
    <t>Meezan Bank Limited</t>
  </si>
  <si>
    <t>Lucky Cement Limited</t>
  </si>
  <si>
    <t>Deraghazi Khan Cement</t>
  </si>
  <si>
    <t>Fauji Cement Company Ltd.</t>
  </si>
  <si>
    <t>Kot Addu Power Co.Ltd.</t>
  </si>
  <si>
    <t>Hub Power Company Limited</t>
  </si>
  <si>
    <t>Pakistan State Oil Co. Ltd.</t>
  </si>
  <si>
    <t>Pakistan Petroleum Ltd.</t>
  </si>
  <si>
    <t>Indus Motor Company Limited</t>
  </si>
  <si>
    <t>Pak Suzuki Motor Co. Ltd.</t>
  </si>
  <si>
    <t>Honda Atlas Cars Limited</t>
  </si>
  <si>
    <t>Fauji Fertilizer Company Limited.</t>
  </si>
  <si>
    <t>Engro Fertilizer Limited</t>
  </si>
  <si>
    <t>Fauji Fertilizer Bin Qasim Ltd.</t>
  </si>
  <si>
    <t>Engro Corporation Ltd.</t>
  </si>
  <si>
    <t>Ferozsons Laboratories Ltd.</t>
  </si>
  <si>
    <t>Glaxosmithkline (Pak) Limited</t>
  </si>
  <si>
    <t>Abbot Laboatories (Pakistan) Ltd.</t>
  </si>
  <si>
    <t>Searle Pakistan Ltd.</t>
  </si>
  <si>
    <t>Engro Foods Limited</t>
  </si>
  <si>
    <t>Issue Date</t>
  </si>
  <si>
    <t>Tenor</t>
  </si>
  <si>
    <t>Face value</t>
  </si>
  <si>
    <t xml:space="preserve">Market Value as a Percentage of Net Assets </t>
  </si>
  <si>
    <t>Market Value as a Percentage of Investments</t>
  </si>
  <si>
    <t>Purchases During the Period</t>
  </si>
  <si>
    <t>Sales/ Matured During the Period</t>
  </si>
  <si>
    <t>Carrying Value</t>
  </si>
  <si>
    <t>Appreciation / (Diminution)</t>
  </si>
  <si>
    <t>--------------------------------Rupees in '000------------------------------</t>
  </si>
  <si>
    <t>GOP IJARAH SUKUK</t>
  </si>
  <si>
    <t>3 years</t>
  </si>
  <si>
    <t>6.2 Investment in government securities-GOP Ijarah Sukuk</t>
  </si>
  <si>
    <t>Held by Money Market Sub Fund</t>
  </si>
  <si>
    <t>Held by Debt Sub Fund</t>
  </si>
  <si>
    <t>6.3 Investment in government securities-GOP Ijarah Sukuk</t>
  </si>
  <si>
    <r>
      <t>Government Securities 6</t>
    </r>
    <r>
      <rPr>
        <i/>
        <sz val="9"/>
        <rFont val="Arial"/>
        <family val="2"/>
      </rPr>
      <t>.2 &amp; 6.3</t>
    </r>
  </si>
  <si>
    <t>These accounts carry return at rates ranging from 3.10% to 6.45% per annum (30 June 2015: 3.14% to 6.34% per annum).</t>
  </si>
  <si>
    <t xml:space="preserve">     '---------------------------------------------------(Number of Shares)-------------------------------------</t>
  </si>
  <si>
    <t>6.1 Investment in Equity Securities</t>
  </si>
  <si>
    <t>Market Value as percentage of Net Assets</t>
  </si>
  <si>
    <t>----------------------%--------------------------</t>
  </si>
  <si>
    <t>Finance Act 2014 has introduced tax on bonus shares issued by the Companies. Most Equity Funds including NIT Equity funds have challenged the applicability of witholding tax provision on bonus shares before Honorable High Court of Sindh ("the Court")  on various legal grounds and have sought relief from the Court. The Court, in its order dated 25 November 2014, has granted interim relief by passing the restraining order whereby the Defendants, (issuers of the Bonus shares) have refrained from deducting and /or transfering 5% withholding tax on Bonus shares issued by them.</t>
  </si>
  <si>
    <t>As an abundant caution, the Fund has made payment which is equivalent to 5% value of the bonus shares , determined on the basis of day-end price on the first day of book closure. The payment has been recorded as part of cost of respective investment. Detail is as follows:</t>
  </si>
  <si>
    <t xml:space="preserve">5% (No. of Bonus 
shares) </t>
  </si>
  <si>
    <t>Market value
as on 
31 March
2016</t>
  </si>
  <si>
    <t>Payment made
to the 
investee
companies</t>
  </si>
  <si>
    <t>---------(Rupees in '000)--------</t>
  </si>
  <si>
    <t>Searle Pakistan Limited*</t>
  </si>
  <si>
    <t>Searle Pakistan Limited**</t>
  </si>
  <si>
    <t>* Searle Pakistan has not relaesed the bonus shares and retained the payment due to court order</t>
  </si>
  <si>
    <t>** Searle Pakistan has not demanded the payment due to the petition filed by the fund</t>
  </si>
  <si>
    <t xml:space="preserve">                        </t>
  </si>
  <si>
    <t xml:space="preserve">   Managing Director                                                                                                                                           Director                                                                                         Director</t>
  </si>
  <si>
    <t>Net (Loss) / income for the period</t>
  </si>
  <si>
    <t xml:space="preserve">Net unrealised appreciation on remeasurement of </t>
  </si>
  <si>
    <t>Total comprehensive  (loss) / income  for the period</t>
  </si>
  <si>
    <t xml:space="preserve">                                                                                    For National Investment Trust Limited</t>
  </si>
  <si>
    <t xml:space="preserve">                                                                                                (Pension Fund Manager)</t>
  </si>
  <si>
    <t>Net cash flow (used in) / generated from operating activities</t>
  </si>
  <si>
    <t xml:space="preserve">Net (decrease) / generated in cash and cash equivalents </t>
  </si>
  <si>
    <t>Net cash flow financing activities</t>
  </si>
  <si>
    <t xml:space="preserve">Less: Net unrealised (diminution)/appreciation in the </t>
  </si>
  <si>
    <t>fair value of investments at the beginning of the period</t>
  </si>
  <si>
    <t>Net unrealised appreciation on re-measurement  of</t>
  </si>
  <si>
    <t>investments classified as 'available for sale ' - note 6.4</t>
  </si>
  <si>
    <t xml:space="preserve">                                                                                                                                             For National Investment Trust Limited</t>
  </si>
  <si>
    <t xml:space="preserve">                                                                                                                                       (Pension Fund Manager)</t>
  </si>
  <si>
    <t>---------------------------------------------------------------------(Number of units)-------------------------------------------------------------------</t>
  </si>
  <si>
    <t>The annexed notes 1 to 15 form an integral part of this condensed interim financial information.</t>
  </si>
  <si>
    <t xml:space="preserve">                     Managing Director                                                           Director                                                           Director</t>
  </si>
  <si>
    <t>These condensed interim financial statements were authorised for issue on 27th April 2016 by the Board of Directors of the Management Company.</t>
  </si>
</sst>
</file>

<file path=xl/styles.xml><?xml version="1.0" encoding="utf-8"?>
<styleSheet xmlns="http://schemas.openxmlformats.org/spreadsheetml/2006/main">
  <numFmts count="4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t;1]\ &quot;Pk of &quot;\ #;[=1]\ &quot;Each&quot;;\ 0.000\ &quot; km&quot;"/>
    <numFmt numFmtId="166" formatCode="&quot; $&quot;* #,##0.00_ ;"/>
    <numFmt numFmtId="167" formatCode="_ * #,##0.00_)&quot;F&quot;_ ;_ * \(#,##0.00\)&quot;F&quot;_ ;_ * &quot;-&quot;??_)&quot;F&quot;_ ;_ @_ "/>
    <numFmt numFmtId="168" formatCode="_(* #,##0.00000_);_(* \(#,##0.00000\);_(* &quot;-&quot;??_);_(@_)"/>
    <numFmt numFmtId="169" formatCode="_-* #,##0.00_-;\-* #,##0.00_-;_-* &quot;-&quot;??_-;_-@_-"/>
    <numFmt numFmtId="170" formatCode="_-* #,##0_-;\-* #,##0_-;_-* &quot;-&quot;??_-;_-@_-"/>
    <numFmt numFmtId="171" formatCode="_([$€-2]* #,##0.00_);_([$€-2]* \(#,##0.00\);_([$€-2]* &quot;-&quot;??_)"/>
    <numFmt numFmtId="172" formatCode="00000"/>
    <numFmt numFmtId="173" formatCode="_(* #,##0.0000_);_(* \(#,##0.0000\);_(* &quot;-&quot;??_);_(@_)"/>
    <numFmt numFmtId="174" formatCode="0_);\(0\)"/>
    <numFmt numFmtId="175" formatCode="_-* #,##0_-;\-* #,##0_-;_-* &quot;-&quot;_-;_-@_-"/>
    <numFmt numFmtId="176" formatCode="General_)"/>
    <numFmt numFmtId="177" formatCode="_-&quot;$&quot;* #,##0_-;\-&quot;$&quot;* #,##0_-;_-&quot;$&quot;* &quot;-&quot;_-;_-@_-"/>
    <numFmt numFmtId="178" formatCode="_-&quot;$&quot;* #,##0.00_-;\-&quot;$&quot;* #,##0.00_-;_-&quot;$&quot;* &quot;-&quot;??_-;_-@_-"/>
    <numFmt numFmtId="179" formatCode="&quot;$&quot;##,##0_);[Red]\(&quot;$&quot;#,##0\)"/>
    <numFmt numFmtId="180" formatCode="\£\ #,##0_);[Red]\(\£\ #,##0\)"/>
    <numFmt numFmtId="181" formatCode="\¥\ #,##0_);[Red]\(\¥\ #,##0\)"/>
    <numFmt numFmtId="182" formatCode="\•\ \ @"/>
    <numFmt numFmtId="183" formatCode="\ \ _•\–\ \ \ \ @"/>
    <numFmt numFmtId="184" formatCode="_-* #,##0\ _P_t_s_-;\-* #,##0\ _P_t_s_-;_-* &quot;-&quot;\ _P_t_s_-;_-@_-"/>
    <numFmt numFmtId="185" formatCode="_-* #,##0.00\ _P_t_s_-;\-* #,##0.00\ _P_t_s_-;_-* &quot;-&quot;??\ _P_t_s_-;_-@_-"/>
    <numFmt numFmtId="186" formatCode="#,##0_);\(#,##0\);_(* &quot;-&quot;?_);_(@_)"/>
    <numFmt numFmtId="187" formatCode="\I\n\t\i\a\l\ \c\a\p"/>
    <numFmt numFmtId="188" formatCode="_-* #,##0\ _F_-;\-* #,##0\ _F_-;_-* &quot;-&quot;\ _F_-;_-@_-"/>
    <numFmt numFmtId="189" formatCode="_-* #,##0.00\ _F_-;\-* #,##0.00\ _F_-;_-* &quot;-&quot;??\ _F_-;_-@_-"/>
    <numFmt numFmtId="190" formatCode="0.0%"/>
    <numFmt numFmtId="191" formatCode="mm/dd/yy"/>
    <numFmt numFmtId="192" formatCode="#,##0.00;[Red]\(#,##0.00\)"/>
    <numFmt numFmtId="193" formatCode="_ * #,##0.00_ ;_ * \-#,##0.00_ ;_ * &quot;-&quot;??_ ;_ @_ "/>
    <numFmt numFmtId="194" formatCode="_ * #,##0_ ;_ * \-#,##0_ ;_ * &quot;-&quot;_ ;_ @_ "/>
    <numFmt numFmtId="195" formatCode="_(* #,##0.0_);_(* \(#,##0.0\);_(* &quot;-&quot;?_);@_)"/>
    <numFmt numFmtId="196" formatCode="_(* #,##0.0_);_(* \(#,##0.0\);_(* &quot;-&quot;??_);_(@_)"/>
    <numFmt numFmtId="197" formatCode="#,##0.00&quot; $&quot;;[Red]\-#,##0.00&quot; $&quot;"/>
    <numFmt numFmtId="198" formatCode="[$-409]d\-mmm\-yy;@"/>
    <numFmt numFmtId="199" formatCode="#,##0.00_);\(#,##0.00\);_(* &quot;-&quot;?_);_(@_)"/>
    <numFmt numFmtId="200" formatCode="0.0"/>
    <numFmt numFmtId="201" formatCode="#,##0_);\(#,##0\);_(* &quot;-&quot;_);_(@_)"/>
    <numFmt numFmtId="202" formatCode="[$-409]mmmm\ d\,\ yyyy;@"/>
    <numFmt numFmtId="203" formatCode="#,##0.00_);\(#,##0.00\);_(* &quot;-&quot;_);_(@_)"/>
  </numFmts>
  <fonts count="96">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Arial"/>
      <family val="2"/>
    </font>
    <font>
      <sz val="12"/>
      <name val="Arial"/>
      <family val="2"/>
    </font>
    <font>
      <b/>
      <sz val="12"/>
      <name val="Arial"/>
      <family val="2"/>
    </font>
    <font>
      <sz val="10"/>
      <name val="Times New Roman"/>
      <family val="1"/>
    </font>
    <font>
      <b/>
      <sz val="12"/>
      <name val="Albertus Medium"/>
      <family val="2"/>
    </font>
    <font>
      <b/>
      <sz val="10"/>
      <name val="Times New Roman"/>
      <family val="1"/>
    </font>
    <font>
      <b/>
      <sz val="12"/>
      <name val="Times New Roman"/>
      <family val="1"/>
    </font>
    <font>
      <sz val="12"/>
      <name val="Times New Roman"/>
      <family val="1"/>
    </font>
    <font>
      <sz val="11"/>
      <name val="Times New Roman"/>
      <family val="1"/>
    </font>
    <font>
      <sz val="10"/>
      <color indexed="8"/>
      <name val="Arial"/>
      <family val="2"/>
    </font>
    <font>
      <b/>
      <sz val="9"/>
      <name val="Arial"/>
      <family val="2"/>
    </font>
    <font>
      <sz val="10"/>
      <name val="Times New Roman"/>
      <family val="1"/>
    </font>
    <font>
      <sz val="9"/>
      <name val="Arial"/>
      <family val="2"/>
    </font>
    <font>
      <i/>
      <sz val="9"/>
      <name val="Arial"/>
      <family val="2"/>
    </font>
    <font>
      <b/>
      <i/>
      <sz val="9"/>
      <name val="Arial"/>
      <family val="2"/>
    </font>
    <font>
      <sz val="8"/>
      <name val="Times New Roman"/>
      <family val="1"/>
    </font>
    <font>
      <b/>
      <sz val="10"/>
      <name val="Arial"/>
      <family val="2"/>
    </font>
    <font>
      <sz val="9"/>
      <name val="Times New Roman"/>
      <family val="1"/>
    </font>
    <font>
      <sz val="9"/>
      <color indexed="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2"/>
      <name val="Tms Rmn"/>
    </font>
    <font>
      <sz val="10"/>
      <name val="MS Sans Serif"/>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0"/>
      <color indexed="16"/>
      <name val="MS Serif"/>
      <family val="1"/>
    </font>
    <font>
      <b/>
      <sz val="9"/>
      <color indexed="20"/>
      <name val="Arial"/>
      <family val="2"/>
    </font>
    <font>
      <sz val="8"/>
      <color indexed="18"/>
      <name val="Arial"/>
      <family val="2"/>
    </font>
    <font>
      <sz val="8"/>
      <name val="Helv"/>
    </font>
    <font>
      <b/>
      <sz val="8"/>
      <color indexed="8"/>
      <name val="Helv"/>
    </font>
    <font>
      <b/>
      <sz val="9"/>
      <color indexed="8"/>
      <name val="Arial"/>
      <family val="2"/>
    </font>
    <font>
      <sz val="11"/>
      <name val="Arial"/>
      <family val="2"/>
    </font>
    <font>
      <sz val="12"/>
      <name val="Helv"/>
    </font>
    <font>
      <sz val="8"/>
      <color indexed="81"/>
      <name val="Tahoma"/>
      <family val="2"/>
    </font>
    <font>
      <b/>
      <sz val="8"/>
      <color indexed="81"/>
      <name val="Tahoma"/>
      <family val="2"/>
    </font>
    <font>
      <sz val="10"/>
      <name val="Helv"/>
      <charset val="204"/>
    </font>
    <font>
      <sz val="10"/>
      <name val="ＭＳ Ｐゴシック"/>
      <family val="3"/>
      <charset val="128"/>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b/>
      <sz val="12"/>
      <color indexed="8"/>
      <name val="Barclays Serif"/>
      <family val="2"/>
    </font>
    <font>
      <sz val="10"/>
      <name val="Arial"/>
      <family val="2"/>
    </font>
    <font>
      <b/>
      <sz val="8"/>
      <name val="Arial"/>
      <family val="2"/>
    </font>
    <font>
      <i/>
      <sz val="8"/>
      <name val="Arial"/>
      <family val="2"/>
    </font>
    <font>
      <b/>
      <sz val="8"/>
      <color indexed="8"/>
      <name val="Arial"/>
      <family val="2"/>
    </font>
    <font>
      <b/>
      <sz val="8"/>
      <color indexed="24"/>
      <name val="Arial"/>
      <family val="2"/>
    </font>
    <font>
      <b/>
      <sz val="9"/>
      <color indexed="24"/>
      <name val="Arial"/>
      <family val="2"/>
    </font>
    <font>
      <b/>
      <sz val="11"/>
      <color indexed="24"/>
      <name val="Arial"/>
      <family val="2"/>
    </font>
    <font>
      <sz val="9"/>
      <color indexed="8"/>
      <name val="Arial"/>
      <family val="2"/>
    </font>
    <font>
      <b/>
      <sz val="9"/>
      <name val="Times New Roman"/>
      <family val="1"/>
    </font>
    <font>
      <sz val="7.5"/>
      <name val="Arial"/>
      <family val="2"/>
    </font>
    <font>
      <i/>
      <sz val="7.5"/>
      <name val="Arial"/>
      <family val="2"/>
    </font>
    <font>
      <b/>
      <sz val="7.5"/>
      <name val="Arial"/>
      <family val="2"/>
    </font>
    <font>
      <sz val="11"/>
      <color theme="1"/>
      <name val="Calibri"/>
      <family val="2"/>
      <scheme val="minor"/>
    </font>
    <font>
      <b/>
      <sz val="9"/>
      <color indexed="10"/>
      <name val="Arial"/>
      <family val="2"/>
    </font>
    <font>
      <b/>
      <sz val="9"/>
      <color indexed="9"/>
      <name val="Arial"/>
      <family val="2"/>
    </font>
    <font>
      <b/>
      <sz val="7"/>
      <name val="Arial"/>
      <family val="2"/>
    </font>
    <font>
      <sz val="7"/>
      <name val="Arial"/>
      <family val="2"/>
    </font>
    <font>
      <sz val="10"/>
      <name val="Arial"/>
      <family val="2"/>
    </font>
    <font>
      <sz val="10"/>
      <name val="HelmetCondensed"/>
    </font>
    <font>
      <sz val="9"/>
      <color theme="1"/>
      <name val="Arial"/>
      <family val="2"/>
    </font>
    <font>
      <b/>
      <sz val="9"/>
      <color theme="1"/>
      <name val="Arial"/>
      <family val="2"/>
    </font>
    <font>
      <sz val="9"/>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38">
    <xf numFmtId="0" fontId="0"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15" fillId="0" borderId="0" applyFont="0" applyFill="0" applyBorder="0" applyAlignment="0" applyProtection="0"/>
    <xf numFmtId="181" fontId="15" fillId="0" borderId="0" applyFont="0" applyFill="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91" fontId="64" fillId="0" borderId="1" applyFont="0" applyFill="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43" fontId="6"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46" fillId="0" borderId="0" applyNumberFormat="0" applyFill="0" applyBorder="0" applyAlignment="0" applyProtection="0"/>
    <xf numFmtId="0" fontId="14" fillId="0" borderId="2" applyNumberFormat="0" applyFill="0" applyAlignment="0" applyProtection="0"/>
    <xf numFmtId="49" fontId="78" fillId="0" borderId="0" applyFont="0" applyFill="0" applyBorder="0" applyAlignment="0" applyProtection="0">
      <alignment horizontal="left"/>
    </xf>
    <xf numFmtId="195" fontId="20" fillId="0" borderId="0" applyAlignment="0" applyProtection="0"/>
    <xf numFmtId="190" fontId="7" fillId="0" borderId="0" applyFill="0" applyBorder="0" applyAlignment="0" applyProtection="0"/>
    <xf numFmtId="49" fontId="7" fillId="0" borderId="0" applyNumberFormat="0" applyAlignment="0" applyProtection="0">
      <alignment horizontal="left"/>
    </xf>
    <xf numFmtId="49" fontId="79" fillId="0" borderId="3" applyNumberFormat="0" applyAlignment="0" applyProtection="0">
      <alignment horizontal="left" wrapText="1"/>
    </xf>
    <xf numFmtId="49" fontId="79" fillId="0" borderId="0" applyNumberFormat="0" applyAlignment="0" applyProtection="0">
      <alignment horizontal="left" wrapText="1"/>
    </xf>
    <xf numFmtId="49" fontId="80" fillId="0" borderId="0" applyAlignment="0" applyProtection="0">
      <alignment horizontal="left"/>
    </xf>
    <xf numFmtId="182" fontId="15" fillId="0" borderId="0" applyFont="0" applyFill="0" applyBorder="0" applyAlignment="0" applyProtection="0"/>
    <xf numFmtId="167" fontId="8" fillId="0" borderId="0" applyFill="0" applyBorder="0" applyAlignment="0"/>
    <xf numFmtId="167" fontId="7" fillId="0" borderId="0" applyFill="0" applyBorder="0" applyAlignment="0"/>
    <xf numFmtId="0" fontId="31" fillId="20" borderId="4" applyNumberFormat="0" applyAlignment="0" applyProtection="0"/>
    <xf numFmtId="0" fontId="31" fillId="20" borderId="4" applyNumberFormat="0" applyAlignment="0" applyProtection="0"/>
    <xf numFmtId="0" fontId="31" fillId="20" borderId="4" applyNumberFormat="0" applyAlignment="0" applyProtection="0"/>
    <xf numFmtId="0" fontId="31" fillId="20" borderId="4" applyNumberFormat="0" applyAlignment="0" applyProtection="0"/>
    <xf numFmtId="0" fontId="32" fillId="21" borderId="5" applyNumberFormat="0" applyAlignment="0" applyProtection="0"/>
    <xf numFmtId="0" fontId="32" fillId="21" borderId="5" applyNumberFormat="0" applyAlignment="0" applyProtection="0"/>
    <xf numFmtId="0" fontId="32" fillId="21" borderId="5" applyNumberFormat="0" applyAlignment="0" applyProtection="0"/>
    <xf numFmtId="0" fontId="32" fillId="21" borderId="5" applyNumberFormat="0" applyAlignment="0" applyProtection="0"/>
    <xf numFmtId="43" fontId="6"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6"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0" fontId="42" fillId="0" borderId="0">
      <alignment vertical="top"/>
    </xf>
    <xf numFmtId="0" fontId="17" fillId="0" borderId="0">
      <alignment vertical="top"/>
    </xf>
    <xf numFmtId="43" fontId="6" fillId="0" borderId="0" applyFont="0" applyFill="0" applyBorder="0" applyAlignment="0" applyProtection="0"/>
    <xf numFmtId="43" fontId="6" fillId="0" borderId="0" applyFont="0" applyFill="0" applyBorder="0" applyAlignment="0" applyProtection="0"/>
    <xf numFmtId="164" fontId="48"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9" fontId="48" fillId="0" borderId="0" applyFont="0" applyFill="0" applyBorder="0" applyAlignment="0" applyProtection="0"/>
    <xf numFmtId="43" fontId="15" fillId="0" borderId="0" applyFont="0" applyFill="0" applyBorder="0" applyAlignment="0" applyProtection="0"/>
    <xf numFmtId="169" fontId="6" fillId="0" borderId="0" applyFont="0" applyFill="0" applyBorder="0" applyAlignment="0" applyProtection="0"/>
    <xf numFmtId="176" fontId="49" fillId="0" borderId="0" applyFill="0" applyBorder="0">
      <alignment horizontal="left"/>
    </xf>
    <xf numFmtId="0" fontId="50" fillId="22" borderId="0" applyFill="0" applyBorder="0"/>
    <xf numFmtId="0" fontId="51" fillId="0" borderId="0" applyNumberFormat="0" applyAlignment="0">
      <alignment horizontal="left"/>
    </xf>
    <xf numFmtId="44" fontId="6" fillId="0" borderId="0" applyFont="0" applyFill="0" applyBorder="0" applyAlignment="0" applyProtection="0"/>
    <xf numFmtId="183" fontId="15" fillId="0" borderId="0" applyFont="0" applyFill="0" applyBorder="0" applyAlignment="0" applyProtection="0"/>
    <xf numFmtId="0" fontId="52" fillId="22" borderId="0"/>
    <xf numFmtId="166" fontId="9" fillId="0" borderId="0" applyFont="0" applyFill="0" applyBorder="0" applyAlignment="0" applyProtection="0"/>
    <xf numFmtId="0" fontId="53" fillId="0" borderId="0" applyNumberFormat="0" applyAlignment="0">
      <alignment horizontal="left"/>
    </xf>
    <xf numFmtId="171" fontId="6"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4" fillId="0" borderId="0" applyFill="0" applyAlignment="0"/>
    <xf numFmtId="0" fontId="6" fillId="0" borderId="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38" fontId="7" fillId="22" borderId="0" applyNumberFormat="0" applyBorder="0" applyAlignment="0" applyProtection="0"/>
    <xf numFmtId="0" fontId="10" fillId="0" borderId="6" applyNumberFormat="0" applyAlignment="0" applyProtection="0">
      <alignment horizontal="left" vertical="center"/>
    </xf>
    <xf numFmtId="0" fontId="10" fillId="0" borderId="7">
      <alignment horizontal="left" vertical="center"/>
    </xf>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4" applyNumberFormat="0" applyAlignment="0" applyProtection="0"/>
    <xf numFmtId="10" fontId="7" fillId="23" borderId="1" applyNumberFormat="0" applyBorder="0" applyAlignment="0" applyProtection="0"/>
    <xf numFmtId="0" fontId="38" fillId="7" borderId="4" applyNumberFormat="0" applyAlignment="0" applyProtection="0"/>
    <xf numFmtId="0" fontId="38" fillId="7" borderId="4" applyNumberFormat="0" applyAlignment="0" applyProtection="0"/>
    <xf numFmtId="0" fontId="38" fillId="7" borderId="4" applyNumberFormat="0" applyAlignment="0" applyProtection="0"/>
    <xf numFmtId="0" fontId="60" fillId="0" borderId="0" applyBorder="0"/>
    <xf numFmtId="179" fontId="6" fillId="0" borderId="0"/>
    <xf numFmtId="187" fontId="25" fillId="0" borderId="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184" fontId="6" fillId="0" borderId="0" applyFont="0" applyFill="0" applyBorder="0" applyAlignment="0" applyProtection="0"/>
    <xf numFmtId="185" fontId="6"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165" fontId="11" fillId="0" borderId="0" applyFill="0" applyBorder="0">
      <alignment horizontal="center" vertical="top"/>
    </xf>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10" fillId="23" borderId="12">
      <alignment vertical="center"/>
    </xf>
    <xf numFmtId="0" fontId="6" fillId="0" borderId="0"/>
    <xf numFmtId="0" fontId="15" fillId="0" borderId="0">
      <alignment vertical="top"/>
    </xf>
    <xf numFmtId="0" fontId="86" fillId="0" borderId="0"/>
    <xf numFmtId="0" fontId="15" fillId="0" borderId="0">
      <alignment vertical="top"/>
    </xf>
    <xf numFmtId="0" fontId="15" fillId="0" borderId="0">
      <alignment vertical="top"/>
    </xf>
    <xf numFmtId="0" fontId="6" fillId="0" borderId="0"/>
    <xf numFmtId="0" fontId="15" fillId="0" borderId="0">
      <alignment vertical="top"/>
    </xf>
    <xf numFmtId="0" fontId="15" fillId="0" borderId="0"/>
    <xf numFmtId="0" fontId="86" fillId="0" borderId="0"/>
    <xf numFmtId="0" fontId="6" fillId="0" borderId="0"/>
    <xf numFmtId="0" fontId="2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27" fillId="0" borderId="0"/>
    <xf numFmtId="0" fontId="27" fillId="0" borderId="0"/>
    <xf numFmtId="0" fontId="15" fillId="0" borderId="0"/>
    <xf numFmtId="0" fontId="15" fillId="0" borderId="0"/>
    <xf numFmtId="0" fontId="6" fillId="0" borderId="0"/>
    <xf numFmtId="0" fontId="6" fillId="0" borderId="0"/>
    <xf numFmtId="0" fontId="15" fillId="0" borderId="0"/>
    <xf numFmtId="0" fontId="15" fillId="0" borderId="0"/>
    <xf numFmtId="0" fontId="27" fillId="0" borderId="0"/>
    <xf numFmtId="0" fontId="15" fillId="0" borderId="0"/>
    <xf numFmtId="0" fontId="6" fillId="0" borderId="0"/>
    <xf numFmtId="0" fontId="6" fillId="0" borderId="0"/>
    <xf numFmtId="0" fontId="15" fillId="0" borderId="0">
      <alignment vertical="top"/>
    </xf>
    <xf numFmtId="0" fontId="15" fillId="0" borderId="0">
      <alignment vertical="top"/>
    </xf>
    <xf numFmtId="0" fontId="28" fillId="0" borderId="0"/>
    <xf numFmtId="0" fontId="27" fillId="0" borderId="0"/>
    <xf numFmtId="0" fontId="6" fillId="0" borderId="0"/>
    <xf numFmtId="0" fontId="15" fillId="0" borderId="0"/>
    <xf numFmtId="0" fontId="16" fillId="0" borderId="0"/>
    <xf numFmtId="0" fontId="6" fillId="0" borderId="0"/>
    <xf numFmtId="0" fontId="15" fillId="0" borderId="0"/>
    <xf numFmtId="0" fontId="15" fillId="0" borderId="0"/>
    <xf numFmtId="0" fontId="15" fillId="0" borderId="0"/>
    <xf numFmtId="0" fontId="15" fillId="0" borderId="0"/>
    <xf numFmtId="0" fontId="19" fillId="0" borderId="0"/>
    <xf numFmtId="0" fontId="6" fillId="0" borderId="0"/>
    <xf numFmtId="0" fontId="6" fillId="0" borderId="0"/>
    <xf numFmtId="0" fontId="6" fillId="0" borderId="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55" fillId="0" borderId="0">
      <alignment wrapText="1"/>
    </xf>
    <xf numFmtId="0" fontId="41" fillId="20" borderId="14" applyNumberFormat="0" applyAlignment="0" applyProtection="0"/>
    <xf numFmtId="0" fontId="41" fillId="20" borderId="14" applyNumberFormat="0" applyAlignment="0" applyProtection="0"/>
    <xf numFmtId="0" fontId="41" fillId="20" borderId="14" applyNumberFormat="0" applyAlignment="0" applyProtection="0"/>
    <xf numFmtId="0" fontId="41" fillId="20" borderId="14" applyNumberFormat="0" applyAlignment="0" applyProtection="0"/>
    <xf numFmtId="192" fontId="17" fillId="26" borderId="0">
      <alignment horizontal="right"/>
    </xf>
    <xf numFmtId="40" fontId="65" fillId="23" borderId="0">
      <alignment horizontal="right"/>
    </xf>
    <xf numFmtId="40" fontId="65" fillId="23" borderId="0">
      <alignment horizontal="right"/>
    </xf>
    <xf numFmtId="0" fontId="66" fillId="27" borderId="0">
      <alignment horizontal="center"/>
    </xf>
    <xf numFmtId="0" fontId="67" fillId="23" borderId="0">
      <alignment horizontal="right"/>
    </xf>
    <xf numFmtId="0" fontId="67" fillId="23" borderId="0">
      <alignment horizontal="right"/>
    </xf>
    <xf numFmtId="0" fontId="68" fillId="28" borderId="15"/>
    <xf numFmtId="0" fontId="69" fillId="23" borderId="15"/>
    <xf numFmtId="0" fontId="69" fillId="23" borderId="15"/>
    <xf numFmtId="0" fontId="70" fillId="26" borderId="0" applyBorder="0">
      <alignment horizontal="centerContinuous"/>
    </xf>
    <xf numFmtId="0" fontId="69" fillId="0" borderId="0" applyBorder="0">
      <alignment horizontal="centerContinuous"/>
    </xf>
    <xf numFmtId="0" fontId="69" fillId="0" borderId="0" applyBorder="0">
      <alignment horizontal="centerContinuous"/>
    </xf>
    <xf numFmtId="0" fontId="71" fillId="28" borderId="0" applyBorder="0">
      <alignment horizontal="centerContinuous"/>
    </xf>
    <xf numFmtId="0" fontId="72" fillId="0" borderId="0" applyBorder="0">
      <alignment horizontal="centerContinuous"/>
    </xf>
    <xf numFmtId="0" fontId="72" fillId="0" borderId="0" applyBorder="0">
      <alignment horizontal="centerContinuous"/>
    </xf>
    <xf numFmtId="9" fontId="6" fillId="0" borderId="0" applyFont="0" applyFill="0" applyBorder="0" applyAlignment="0" applyProtection="0"/>
    <xf numFmtId="10" fontId="6"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7" fillId="0" borderId="0" applyNumberFormat="0" applyFont="0" applyFill="0" applyBorder="0" applyAlignment="0" applyProtection="0">
      <alignment horizontal="left"/>
    </xf>
    <xf numFmtId="14" fontId="56" fillId="0" borderId="0" applyNumberFormat="0" applyFill="0" applyBorder="0" applyAlignment="0" applyProtection="0">
      <alignment horizontal="left"/>
    </xf>
    <xf numFmtId="0" fontId="6" fillId="0" borderId="0"/>
    <xf numFmtId="4" fontId="73" fillId="0" borderId="16" applyNumberFormat="0" applyProtection="0">
      <alignment horizontal="right" vertical="center"/>
    </xf>
    <xf numFmtId="0" fontId="42" fillId="0" borderId="0">
      <alignment vertical="top"/>
    </xf>
    <xf numFmtId="0" fontId="17" fillId="0" borderId="0">
      <alignment vertical="top"/>
    </xf>
    <xf numFmtId="0" fontId="12" fillId="0" borderId="0">
      <alignment horizontal="left" vertical="center"/>
    </xf>
    <xf numFmtId="0" fontId="13" fillId="0" borderId="0" applyNumberFormat="0" applyFill="0" applyBorder="0" applyProtection="0">
      <alignment vertical="center"/>
    </xf>
    <xf numFmtId="40" fontId="57" fillId="0" borderId="0" applyBorder="0">
      <alignment horizontal="right"/>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5" fontId="6" fillId="0" borderId="0" applyFont="0" applyFill="0" applyBorder="0" applyAlignment="0" applyProtection="0"/>
    <xf numFmtId="169" fontId="6" fillId="0" borderId="0" applyFont="0" applyFill="0" applyBorder="0" applyAlignment="0" applyProtection="0"/>
    <xf numFmtId="0" fontId="20" fillId="22" borderId="0" applyFont="0" applyFill="0">
      <alignment horizontal="center"/>
    </xf>
    <xf numFmtId="177" fontId="6" fillId="0" borderId="0" applyFont="0" applyFill="0" applyBorder="0" applyAlignment="0" applyProtection="0"/>
    <xf numFmtId="178" fontId="6"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93" fontId="6" fillId="0" borderId="0" applyFont="0" applyFill="0" applyBorder="0" applyAlignment="0" applyProtection="0"/>
    <xf numFmtId="194" fontId="6" fillId="0" borderId="0" applyFont="0" applyFill="0" applyBorder="0" applyAlignment="0" applyProtection="0"/>
    <xf numFmtId="0" fontId="6" fillId="0" borderId="0"/>
    <xf numFmtId="44" fontId="6" fillId="0" borderId="0" applyFont="0" applyFill="0" applyBorder="0" applyAlignment="0" applyProtection="0"/>
    <xf numFmtId="42" fontId="6" fillId="0" borderId="0" applyFont="0" applyFill="0" applyBorder="0" applyAlignment="0" applyProtection="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197" fontId="6" fillId="0" borderId="0" applyFill="0" applyBorder="0" applyAlignment="0"/>
    <xf numFmtId="197" fontId="6" fillId="0" borderId="0" applyFill="0" applyBorder="0" applyAlignment="0"/>
    <xf numFmtId="167" fontId="7" fillId="0" borderId="0" applyFill="0" applyBorder="0" applyAlignmen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6" fillId="0" borderId="0"/>
    <xf numFmtId="0" fontId="6" fillId="0" borderId="0"/>
    <xf numFmtId="0" fontId="6" fillId="0" borderId="0"/>
    <xf numFmtId="0" fontId="6" fillId="0" borderId="0"/>
    <xf numFmtId="179" fontId="6" fillId="0" borderId="0"/>
    <xf numFmtId="179" fontId="6" fillId="0" borderId="0"/>
    <xf numFmtId="179" fontId="6" fillId="0" borderId="0"/>
    <xf numFmtId="17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lignment vertical="top"/>
    </xf>
    <xf numFmtId="0" fontId="15" fillId="0" borderId="0">
      <alignment vertical="top"/>
    </xf>
    <xf numFmtId="0" fontId="15" fillId="0" borderId="0">
      <alignment vertical="top"/>
    </xf>
    <xf numFmtId="0" fontId="28" fillId="0" borderId="0"/>
    <xf numFmtId="0" fontId="28" fillId="0" borderId="0"/>
    <xf numFmtId="0" fontId="28" fillId="0" borderId="0"/>
    <xf numFmtId="0" fontId="28" fillId="0" borderId="0"/>
    <xf numFmtId="0" fontId="6" fillId="0" borderId="0"/>
    <xf numFmtId="0" fontId="6" fillId="0" borderId="0"/>
    <xf numFmtId="0" fontId="6" fillId="0" borderId="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0" fontId="28" fillId="25" borderId="13" applyNumberFormat="0" applyFon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0" fontId="4" fillId="0" borderId="0"/>
    <xf numFmtId="0" fontId="6" fillId="0" borderId="0"/>
    <xf numFmtId="0" fontId="4"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91" fillId="0" borderId="0"/>
    <xf numFmtId="43" fontId="2" fillId="0" borderId="0" applyFont="0" applyFill="0" applyBorder="0" applyAlignment="0" applyProtection="0"/>
    <xf numFmtId="0" fontId="2" fillId="0" borderId="0"/>
    <xf numFmtId="0" fontId="2" fillId="0" borderId="0"/>
    <xf numFmtId="0" fontId="6"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 fillId="0" borderId="0"/>
    <xf numFmtId="0" fontId="15" fillId="0" borderId="0">
      <alignment vertical="top"/>
    </xf>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5" fillId="0" borderId="0"/>
    <xf numFmtId="43"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0" fontId="15" fillId="0" borderId="0"/>
    <xf numFmtId="0" fontId="6" fillId="0" borderId="0"/>
    <xf numFmtId="0" fontId="49" fillId="0" borderId="0">
      <alignment vertical="top"/>
      <protection locked="0"/>
    </xf>
    <xf numFmtId="0" fontId="6" fillId="0" borderId="0"/>
  </cellStyleXfs>
  <cellXfs count="820">
    <xf numFmtId="0" fontId="0" fillId="0" borderId="0" xfId="0"/>
    <xf numFmtId="0" fontId="18" fillId="0" borderId="0" xfId="306" applyNumberFormat="1" applyFont="1" applyBorder="1" applyAlignment="1"/>
    <xf numFmtId="0" fontId="18" fillId="0" borderId="0" xfId="310" applyFont="1" applyFill="1" applyAlignment="1"/>
    <xf numFmtId="0" fontId="18" fillId="0" borderId="0" xfId="310" applyFont="1" applyFill="1" applyAlignment="1">
      <alignment horizontal="centerContinuous"/>
    </xf>
    <xf numFmtId="0" fontId="20" fillId="0" borderId="0" xfId="310" applyFont="1" applyFill="1"/>
    <xf numFmtId="0" fontId="21" fillId="0" borderId="0" xfId="310" applyFont="1" applyFill="1" applyAlignment="1">
      <alignment horizontal="center"/>
    </xf>
    <xf numFmtId="164" fontId="20" fillId="0" borderId="0" xfId="160" applyNumberFormat="1" applyFont="1" applyFill="1"/>
    <xf numFmtId="0" fontId="18" fillId="0" borderId="0" xfId="310" applyFont="1" applyFill="1" applyAlignment="1">
      <alignment horizontal="center"/>
    </xf>
    <xf numFmtId="0" fontId="18" fillId="0" borderId="0" xfId="160" applyNumberFormat="1" applyFont="1" applyFill="1" applyAlignment="1">
      <alignment horizontal="center"/>
    </xf>
    <xf numFmtId="0" fontId="18" fillId="0" borderId="0" xfId="310" applyFont="1" applyFill="1"/>
    <xf numFmtId="43" fontId="20" fillId="0" borderId="0" xfId="160" applyFont="1" applyFill="1"/>
    <xf numFmtId="0" fontId="20" fillId="0" borderId="0" xfId="310" quotePrefix="1" applyFont="1" applyFill="1" applyAlignment="1">
      <alignment horizontal="center"/>
    </xf>
    <xf numFmtId="164" fontId="20" fillId="0" borderId="19" xfId="160" applyNumberFormat="1" applyFont="1" applyFill="1" applyBorder="1"/>
    <xf numFmtId="164" fontId="20" fillId="0" borderId="0" xfId="160" applyNumberFormat="1" applyFont="1" applyFill="1" applyBorder="1"/>
    <xf numFmtId="164" fontId="20" fillId="0" borderId="0" xfId="310" applyNumberFormat="1" applyFont="1" applyFill="1"/>
    <xf numFmtId="164" fontId="20" fillId="0" borderId="20" xfId="160" applyNumberFormat="1" applyFont="1" applyFill="1" applyBorder="1"/>
    <xf numFmtId="0" fontId="20" fillId="0" borderId="0" xfId="310" applyFont="1" applyFill="1" applyAlignment="1">
      <alignment horizontal="center"/>
    </xf>
    <xf numFmtId="164" fontId="20" fillId="0" borderId="21" xfId="160" applyNumberFormat="1" applyFont="1" applyFill="1" applyBorder="1"/>
    <xf numFmtId="164" fontId="18" fillId="0" borderId="0" xfId="160" applyNumberFormat="1" applyFont="1" applyFill="1"/>
    <xf numFmtId="49" fontId="20" fillId="0" borderId="0" xfId="310" applyNumberFormat="1" applyFont="1" applyFill="1"/>
    <xf numFmtId="49" fontId="18" fillId="0" borderId="0" xfId="310" applyNumberFormat="1" applyFont="1" applyFill="1"/>
    <xf numFmtId="164" fontId="20" fillId="0" borderId="18" xfId="160" applyNumberFormat="1" applyFont="1" applyFill="1" applyBorder="1"/>
    <xf numFmtId="164" fontId="20" fillId="0" borderId="0" xfId="310" applyNumberFormat="1" applyFont="1" applyFill="1" applyAlignment="1">
      <alignment horizontal="center"/>
    </xf>
    <xf numFmtId="49" fontId="20" fillId="0" borderId="0" xfId="160" applyNumberFormat="1" applyFont="1" applyFill="1"/>
    <xf numFmtId="43" fontId="20" fillId="0" borderId="0" xfId="160" applyNumberFormat="1" applyFont="1" applyFill="1" applyBorder="1"/>
    <xf numFmtId="0" fontId="20" fillId="0" borderId="0" xfId="310" applyFont="1"/>
    <xf numFmtId="0" fontId="20" fillId="0" borderId="0" xfId="310" applyFont="1" applyFill="1" applyAlignment="1">
      <alignment horizontal="centerContinuous"/>
    </xf>
    <xf numFmtId="0" fontId="18" fillId="0" borderId="0" xfId="310" applyFont="1" applyFill="1" applyBorder="1" applyAlignment="1"/>
    <xf numFmtId="0" fontId="18" fillId="0" borderId="0" xfId="310" applyFont="1" applyFill="1" applyBorder="1" applyAlignment="1">
      <alignment horizontal="center"/>
    </xf>
    <xf numFmtId="0" fontId="20" fillId="0" borderId="0" xfId="310" applyFont="1" applyFill="1" applyBorder="1"/>
    <xf numFmtId="0" fontId="20" fillId="0" borderId="0" xfId="310" applyNumberFormat="1" applyFont="1" applyAlignment="1">
      <alignment horizontal="left" vertical="top"/>
    </xf>
    <xf numFmtId="0" fontId="18" fillId="0" borderId="0" xfId="160" quotePrefix="1" applyNumberFormat="1" applyFont="1" applyAlignment="1">
      <alignment horizontal="left" vertical="top"/>
    </xf>
    <xf numFmtId="0" fontId="18" fillId="0" borderId="0" xfId="160" applyNumberFormat="1" applyFont="1" applyAlignment="1">
      <alignment horizontal="center"/>
    </xf>
    <xf numFmtId="0" fontId="18" fillId="0" borderId="0" xfId="310" applyFont="1" applyAlignment="1">
      <alignment horizontal="center"/>
    </xf>
    <xf numFmtId="0" fontId="20" fillId="0" borderId="0" xfId="310" applyFont="1" applyAlignment="1">
      <alignment horizontal="left"/>
    </xf>
    <xf numFmtId="0" fontId="21" fillId="0" borderId="0" xfId="310" applyFont="1" applyAlignment="1">
      <alignment horizontal="center"/>
    </xf>
    <xf numFmtId="164" fontId="20" fillId="0" borderId="0" xfId="160" applyNumberFormat="1" applyFont="1" applyAlignment="1">
      <alignment horizontal="left"/>
    </xf>
    <xf numFmtId="0" fontId="18" fillId="0" borderId="0" xfId="310" applyNumberFormat="1" applyFont="1" applyAlignment="1">
      <alignment vertical="top"/>
    </xf>
    <xf numFmtId="164" fontId="20" fillId="0" borderId="0" xfId="160" applyNumberFormat="1" applyFont="1"/>
    <xf numFmtId="164" fontId="20" fillId="0" borderId="0" xfId="160" applyNumberFormat="1" applyFont="1" applyFill="1" applyAlignment="1">
      <alignment horizontal="centerContinuous"/>
    </xf>
    <xf numFmtId="0" fontId="20" fillId="0" borderId="0" xfId="309" applyFont="1" applyFill="1" applyAlignment="1"/>
    <xf numFmtId="0" fontId="20" fillId="0" borderId="0" xfId="309" quotePrefix="1" applyFont="1" applyFill="1" applyAlignment="1">
      <alignment horizontal="center"/>
    </xf>
    <xf numFmtId="164" fontId="18" fillId="0" borderId="0" xfId="160" applyNumberFormat="1" applyFont="1" applyFill="1" applyBorder="1"/>
    <xf numFmtId="0" fontId="18" fillId="0" borderId="0" xfId="310" applyFont="1" applyFill="1" applyAlignment="1">
      <alignment horizontal="left"/>
    </xf>
    <xf numFmtId="0" fontId="20" fillId="0" borderId="0" xfId="310" applyNumberFormat="1" applyFont="1" applyAlignment="1">
      <alignment vertical="top"/>
    </xf>
    <xf numFmtId="0" fontId="18" fillId="0" borderId="0" xfId="310" applyFont="1" applyAlignment="1">
      <alignment horizontal="left"/>
    </xf>
    <xf numFmtId="0" fontId="20" fillId="0" borderId="0" xfId="0" applyFont="1" applyAlignment="1">
      <alignment vertical="top"/>
    </xf>
    <xf numFmtId="0" fontId="20" fillId="0" borderId="0" xfId="310" quotePrefix="1" applyFont="1" applyFill="1" applyAlignment="1">
      <alignment horizontal="left"/>
    </xf>
    <xf numFmtId="164" fontId="20" fillId="0" borderId="2" xfId="160" applyNumberFormat="1" applyFont="1" applyFill="1" applyBorder="1"/>
    <xf numFmtId="49" fontId="20" fillId="0" borderId="0" xfId="310" quotePrefix="1" applyNumberFormat="1" applyFont="1" applyFill="1" applyAlignment="1">
      <alignment horizontal="left"/>
    </xf>
    <xf numFmtId="0" fontId="20" fillId="0" borderId="0" xfId="310" applyFont="1" applyFill="1" applyAlignment="1"/>
    <xf numFmtId="164" fontId="18" fillId="0" borderId="0" xfId="160" applyNumberFormat="1" applyFont="1" applyFill="1" applyAlignment="1">
      <alignment vertical="top"/>
    </xf>
    <xf numFmtId="49" fontId="20" fillId="0" borderId="0" xfId="160" applyNumberFormat="1" applyFont="1" applyFill="1" applyAlignment="1">
      <alignment horizontal="centerContinuous"/>
    </xf>
    <xf numFmtId="0" fontId="21" fillId="0" borderId="0" xfId="310" applyFont="1" applyAlignment="1">
      <alignment horizontal="left"/>
    </xf>
    <xf numFmtId="0" fontId="20" fillId="0" borderId="0" xfId="201" applyNumberFormat="1" applyFont="1" applyAlignment="1"/>
    <xf numFmtId="0" fontId="18" fillId="0" borderId="0" xfId="310" applyNumberFormat="1" applyFont="1" applyAlignment="1">
      <alignment horizontal="left" vertical="top"/>
    </xf>
    <xf numFmtId="0" fontId="20" fillId="0" borderId="0" xfId="310" applyFont="1" applyAlignment="1">
      <alignment vertical="top"/>
    </xf>
    <xf numFmtId="0" fontId="18" fillId="0" borderId="0" xfId="310" applyFont="1" applyFill="1" applyAlignment="1">
      <alignment vertical="top"/>
    </xf>
    <xf numFmtId="43" fontId="20" fillId="0" borderId="0" xfId="310" applyNumberFormat="1" applyFont="1" applyAlignment="1">
      <alignment vertical="top"/>
    </xf>
    <xf numFmtId="0" fontId="22" fillId="0" borderId="0" xfId="310" applyFont="1" applyAlignment="1">
      <alignment horizontal="center" vertical="top"/>
    </xf>
    <xf numFmtId="0" fontId="18" fillId="0" borderId="0" xfId="310" applyFont="1" applyAlignment="1">
      <alignment horizontal="center" vertical="top"/>
    </xf>
    <xf numFmtId="0" fontId="18" fillId="0" borderId="0" xfId="310" applyNumberFormat="1" applyFont="1" applyFill="1" applyAlignment="1">
      <alignment vertical="top"/>
    </xf>
    <xf numFmtId="0" fontId="20" fillId="0" borderId="0" xfId="304" applyFont="1" applyAlignment="1"/>
    <xf numFmtId="0" fontId="20" fillId="0" borderId="0" xfId="0" applyFont="1" applyFill="1" applyAlignment="1">
      <alignment vertical="top"/>
    </xf>
    <xf numFmtId="0" fontId="20" fillId="0" borderId="0" xfId="0" applyNumberFormat="1" applyFont="1" applyFill="1" applyAlignment="1">
      <alignment vertical="top"/>
    </xf>
    <xf numFmtId="0" fontId="18" fillId="0" borderId="0" xfId="0" applyFont="1"/>
    <xf numFmtId="0" fontId="20" fillId="0" borderId="0" xfId="306" applyFont="1" applyFill="1" applyAlignment="1"/>
    <xf numFmtId="37" fontId="20" fillId="0" borderId="0" xfId="304" applyNumberFormat="1" applyFont="1" applyAlignment="1"/>
    <xf numFmtId="164" fontId="20" fillId="0" borderId="0" xfId="160" applyNumberFormat="1" applyFont="1" applyFill="1" applyBorder="1" applyAlignment="1"/>
    <xf numFmtId="0" fontId="20" fillId="0" borderId="0" xfId="309" applyNumberFormat="1" applyFont="1" applyFill="1" applyAlignment="1"/>
    <xf numFmtId="0" fontId="20" fillId="0" borderId="0" xfId="310" applyFont="1" applyBorder="1" applyAlignment="1">
      <alignment vertical="top"/>
    </xf>
    <xf numFmtId="0" fontId="20" fillId="0" borderId="0" xfId="309" applyFont="1" applyFill="1" applyAlignment="1">
      <alignment horizontal="center"/>
    </xf>
    <xf numFmtId="164" fontId="20" fillId="0" borderId="0" xfId="160" applyNumberFormat="1" applyFont="1" applyFill="1" applyAlignment="1">
      <alignment horizontal="center"/>
    </xf>
    <xf numFmtId="0" fontId="20" fillId="0" borderId="0" xfId="304" applyFont="1" applyBorder="1" applyAlignment="1"/>
    <xf numFmtId="0" fontId="20" fillId="0" borderId="0" xfId="306" quotePrefix="1" applyFont="1" applyFill="1" applyAlignment="1"/>
    <xf numFmtId="49" fontId="20" fillId="0" borderId="0" xfId="310" applyNumberFormat="1" applyFont="1" applyFill="1" applyAlignment="1">
      <alignment horizontal="center"/>
    </xf>
    <xf numFmtId="41" fontId="20" fillId="0" borderId="0" xfId="160" applyNumberFormat="1" applyFont="1" applyFill="1" applyAlignment="1">
      <alignment horizontal="left"/>
    </xf>
    <xf numFmtId="0" fontId="20" fillId="0" borderId="0" xfId="310" applyFont="1" applyFill="1" applyAlignment="1">
      <alignment vertical="top"/>
    </xf>
    <xf numFmtId="0" fontId="20" fillId="0" borderId="0" xfId="0" applyFont="1" applyFill="1"/>
    <xf numFmtId="0" fontId="20" fillId="0" borderId="0" xfId="0" applyFont="1"/>
    <xf numFmtId="0" fontId="20" fillId="0" borderId="0" xfId="310" applyNumberFormat="1" applyFont="1" applyFill="1" applyAlignment="1">
      <alignment vertical="top"/>
    </xf>
    <xf numFmtId="164" fontId="20" fillId="0" borderId="0" xfId="160" quotePrefix="1" applyNumberFormat="1" applyFont="1" applyFill="1" applyAlignment="1">
      <alignment horizontal="center"/>
    </xf>
    <xf numFmtId="1" fontId="20" fillId="0" borderId="0" xfId="310" quotePrefix="1" applyNumberFormat="1" applyFont="1" applyFill="1" applyAlignment="1">
      <alignment horizontal="center"/>
    </xf>
    <xf numFmtId="1" fontId="20" fillId="0" borderId="0" xfId="310" applyNumberFormat="1" applyFont="1" applyFill="1" applyAlignment="1">
      <alignment horizontal="center"/>
    </xf>
    <xf numFmtId="170" fontId="20" fillId="0" borderId="0" xfId="306" applyNumberFormat="1" applyFont="1" applyFill="1" applyBorder="1" applyAlignment="1"/>
    <xf numFmtId="37" fontId="18" fillId="0" borderId="0" xfId="0" applyNumberFormat="1" applyFont="1" applyFill="1" applyAlignment="1" applyProtection="1"/>
    <xf numFmtId="37" fontId="20" fillId="0" borderId="0" xfId="0" applyNumberFormat="1" applyFont="1" applyProtection="1"/>
    <xf numFmtId="37" fontId="18" fillId="0" borderId="0" xfId="0" applyNumberFormat="1" applyFont="1" applyFill="1" applyAlignment="1" applyProtection="1">
      <alignment vertical="top"/>
    </xf>
    <xf numFmtId="37" fontId="20" fillId="0" borderId="0" xfId="0" applyNumberFormat="1" applyFont="1" applyFill="1" applyProtection="1"/>
    <xf numFmtId="0" fontId="20" fillId="0" borderId="0" xfId="305" applyFont="1" applyFill="1"/>
    <xf numFmtId="164" fontId="20" fillId="0" borderId="0" xfId="160" applyNumberFormat="1" applyFont="1" applyFill="1" applyAlignment="1" applyProtection="1">
      <alignment horizontal="right"/>
    </xf>
    <xf numFmtId="164" fontId="20" fillId="0" borderId="0" xfId="160" applyNumberFormat="1" applyFont="1" applyFill="1" applyBorder="1" applyAlignment="1" applyProtection="1">
      <alignment horizontal="right"/>
    </xf>
    <xf numFmtId="37" fontId="20" fillId="0" borderId="0" xfId="0" applyNumberFormat="1" applyFont="1" applyFill="1" applyAlignment="1" applyProtection="1">
      <alignment horizontal="left"/>
    </xf>
    <xf numFmtId="164" fontId="20" fillId="0" borderId="0" xfId="0" applyNumberFormat="1" applyFont="1"/>
    <xf numFmtId="0" fontId="18" fillId="0" borderId="0" xfId="160" applyNumberFormat="1" applyFont="1" applyAlignment="1"/>
    <xf numFmtId="164" fontId="20" fillId="0" borderId="23" xfId="160" applyNumberFormat="1" applyFont="1" applyFill="1" applyBorder="1"/>
    <xf numFmtId="0" fontId="18" fillId="0" borderId="0" xfId="160" applyNumberFormat="1" applyFont="1" applyAlignment="1">
      <alignment horizontal="left" vertical="top"/>
    </xf>
    <xf numFmtId="0" fontId="18" fillId="0" borderId="0" xfId="309" applyNumberFormat="1" applyFont="1" applyFill="1" applyAlignment="1"/>
    <xf numFmtId="0" fontId="18" fillId="0" borderId="0" xfId="306" applyFont="1" applyFill="1" applyAlignment="1"/>
    <xf numFmtId="164" fontId="26" fillId="0" borderId="0" xfId="160" applyNumberFormat="1" applyFont="1" applyFill="1"/>
    <xf numFmtId="164" fontId="20" fillId="0" borderId="22" xfId="160" applyNumberFormat="1" applyFont="1" applyFill="1" applyBorder="1"/>
    <xf numFmtId="49" fontId="18" fillId="0" borderId="0" xfId="160" applyNumberFormat="1" applyFont="1" applyFill="1"/>
    <xf numFmtId="0" fontId="21" fillId="0" borderId="0" xfId="310" applyFont="1" applyFill="1" applyAlignment="1"/>
    <xf numFmtId="0" fontId="18" fillId="0" borderId="0" xfId="306" applyNumberFormat="1" applyFont="1" applyFill="1" applyAlignment="1"/>
    <xf numFmtId="0" fontId="20" fillId="0" borderId="0" xfId="306" applyNumberFormat="1" applyFont="1" applyFill="1" applyAlignment="1"/>
    <xf numFmtId="0" fontId="18" fillId="0" borderId="0" xfId="310" applyNumberFormat="1" applyFont="1" applyFill="1" applyAlignment="1"/>
    <xf numFmtId="0" fontId="18" fillId="0" borderId="0" xfId="0" applyNumberFormat="1" applyFont="1" applyFill="1" applyAlignment="1" applyProtection="1">
      <alignment vertical="top"/>
    </xf>
    <xf numFmtId="0" fontId="18" fillId="0" borderId="0" xfId="160" applyNumberFormat="1" applyFont="1" applyAlignment="1">
      <alignment vertical="top"/>
    </xf>
    <xf numFmtId="0" fontId="18" fillId="0" borderId="0" xfId="310" quotePrefix="1" applyNumberFormat="1" applyFont="1" applyAlignment="1">
      <alignment horizontal="left" vertical="top"/>
    </xf>
    <xf numFmtId="0" fontId="59" fillId="0" borderId="0" xfId="303" applyFont="1" applyBorder="1" applyAlignment="1"/>
    <xf numFmtId="0" fontId="20" fillId="0" borderId="0" xfId="304" applyFont="1" applyFill="1" applyAlignment="1"/>
    <xf numFmtId="0" fontId="20" fillId="0" borderId="0" xfId="304" applyFont="1" applyFill="1" applyBorder="1" applyAlignment="1"/>
    <xf numFmtId="164" fontId="20" fillId="0" borderId="24" xfId="160" applyNumberFormat="1" applyFont="1" applyFill="1" applyBorder="1"/>
    <xf numFmtId="164" fontId="20" fillId="0" borderId="25" xfId="160" applyNumberFormat="1" applyFont="1" applyFill="1" applyBorder="1"/>
    <xf numFmtId="164" fontId="20" fillId="0" borderId="26" xfId="160" applyNumberFormat="1" applyFont="1" applyFill="1" applyBorder="1"/>
    <xf numFmtId="164" fontId="20" fillId="0" borderId="27" xfId="160" applyNumberFormat="1" applyFont="1" applyFill="1" applyBorder="1"/>
    <xf numFmtId="164" fontId="20" fillId="0" borderId="15" xfId="160" applyNumberFormat="1" applyFont="1" applyFill="1" applyBorder="1"/>
    <xf numFmtId="164" fontId="20" fillId="0" borderId="28" xfId="160" applyNumberFormat="1" applyFont="1" applyFill="1" applyBorder="1"/>
    <xf numFmtId="164" fontId="20" fillId="0" borderId="0" xfId="160" applyNumberFormat="1" applyFont="1" applyFill="1" applyAlignment="1">
      <alignment horizontal="justify" vertical="top"/>
    </xf>
    <xf numFmtId="164" fontId="20" fillId="0" borderId="0" xfId="160" applyNumberFormat="1" applyFont="1" applyFill="1" applyBorder="1" applyAlignment="1">
      <alignment horizontal="justify" vertical="top"/>
    </xf>
    <xf numFmtId="164" fontId="20" fillId="0" borderId="18" xfId="310" applyNumberFormat="1" applyFont="1" applyFill="1" applyBorder="1" applyAlignment="1">
      <alignment horizontal="justify" vertical="top"/>
    </xf>
    <xf numFmtId="164" fontId="20" fillId="0" borderId="0" xfId="160" applyNumberFormat="1" applyFont="1" applyAlignment="1"/>
    <xf numFmtId="164" fontId="20" fillId="0" borderId="0" xfId="305" applyNumberFormat="1" applyFont="1" applyFill="1"/>
    <xf numFmtId="164" fontId="20" fillId="29" borderId="0" xfId="160" applyNumberFormat="1" applyFont="1" applyFill="1"/>
    <xf numFmtId="164" fontId="18" fillId="29" borderId="18" xfId="160" applyNumberFormat="1" applyFont="1" applyFill="1" applyBorder="1"/>
    <xf numFmtId="164" fontId="18" fillId="29" borderId="29" xfId="160" applyNumberFormat="1" applyFont="1" applyFill="1" applyBorder="1"/>
    <xf numFmtId="0" fontId="20" fillId="0" borderId="0" xfId="0" applyFont="1" applyBorder="1" applyAlignment="1">
      <alignment horizontal="centerContinuous"/>
    </xf>
    <xf numFmtId="0" fontId="7" fillId="0" borderId="0" xfId="310" applyFont="1" applyFill="1" applyAlignment="1">
      <alignment horizontal="centerContinuous"/>
    </xf>
    <xf numFmtId="0" fontId="75" fillId="0" borderId="0" xfId="310" applyFont="1" applyAlignment="1">
      <alignment horizontal="center"/>
    </xf>
    <xf numFmtId="0" fontId="7" fillId="0" borderId="0" xfId="310" applyFont="1"/>
    <xf numFmtId="0" fontId="76" fillId="0" borderId="0" xfId="310" applyFont="1" applyAlignment="1">
      <alignment horizontal="center"/>
    </xf>
    <xf numFmtId="0" fontId="75" fillId="0" borderId="0" xfId="160" applyNumberFormat="1" applyFont="1" applyAlignment="1">
      <alignment horizontal="center"/>
    </xf>
    <xf numFmtId="164" fontId="7" fillId="0" borderId="0" xfId="160" applyNumberFormat="1" applyFont="1"/>
    <xf numFmtId="164" fontId="7" fillId="0" borderId="0" xfId="160" applyNumberFormat="1" applyFont="1" applyFill="1"/>
    <xf numFmtId="0" fontId="7" fillId="0" borderId="0" xfId="310" applyFont="1" applyFill="1"/>
    <xf numFmtId="164" fontId="7" fillId="0" borderId="0" xfId="160" applyNumberFormat="1" applyFont="1" applyFill="1" applyBorder="1"/>
    <xf numFmtId="0" fontId="7" fillId="0" borderId="0" xfId="160" applyNumberFormat="1" applyFont="1" applyFill="1" applyAlignment="1">
      <alignment horizontal="center"/>
    </xf>
    <xf numFmtId="164" fontId="7" fillId="0" borderId="0" xfId="160" applyNumberFormat="1" applyFont="1" applyFill="1" applyAlignment="1">
      <alignment vertical="center"/>
    </xf>
    <xf numFmtId="164" fontId="75" fillId="0" borderId="0" xfId="160" applyNumberFormat="1" applyFont="1" applyFill="1"/>
    <xf numFmtId="49" fontId="7" fillId="0" borderId="0" xfId="160" applyNumberFormat="1" applyFont="1" applyFill="1"/>
    <xf numFmtId="164" fontId="7" fillId="0" borderId="0" xfId="176" applyNumberFormat="1" applyFont="1" applyFill="1"/>
    <xf numFmtId="49" fontId="7" fillId="0" borderId="0" xfId="310" applyNumberFormat="1" applyFont="1" applyAlignment="1"/>
    <xf numFmtId="49" fontId="7" fillId="0" borderId="0" xfId="160" applyNumberFormat="1" applyFont="1" applyFill="1" applyAlignment="1">
      <alignment vertical="center"/>
    </xf>
    <xf numFmtId="49" fontId="7" fillId="0" borderId="0" xfId="160" applyNumberFormat="1" applyFont="1" applyFill="1" applyAlignment="1">
      <alignment horizontal="left" indent="1"/>
    </xf>
    <xf numFmtId="49" fontId="75" fillId="0" borderId="0" xfId="160" applyNumberFormat="1" applyFont="1" applyFill="1"/>
    <xf numFmtId="164" fontId="7" fillId="0" borderId="18" xfId="160" applyNumberFormat="1" applyFont="1" applyFill="1" applyBorder="1"/>
    <xf numFmtId="0" fontId="7" fillId="0" borderId="0" xfId="160" applyNumberFormat="1" applyFont="1" applyFill="1" applyAlignment="1">
      <alignment horizontal="left" indent="1"/>
    </xf>
    <xf numFmtId="37" fontId="7" fillId="0" borderId="0" xfId="0" applyNumberFormat="1" applyFont="1" applyFill="1" applyProtection="1"/>
    <xf numFmtId="164" fontId="7" fillId="0" borderId="0" xfId="160" applyNumberFormat="1" applyFont="1" applyFill="1" applyAlignment="1" applyProtection="1">
      <alignment horizontal="right"/>
    </xf>
    <xf numFmtId="17" fontId="77" fillId="0" borderId="0" xfId="0" applyNumberFormat="1" applyFont="1" applyFill="1" applyBorder="1" applyAlignment="1">
      <alignment horizontal="center"/>
    </xf>
    <xf numFmtId="164" fontId="75" fillId="0" borderId="0" xfId="160" applyNumberFormat="1" applyFont="1" applyFill="1" applyAlignment="1">
      <alignment horizontal="center"/>
    </xf>
    <xf numFmtId="0" fontId="7" fillId="0" borderId="0" xfId="0" applyFont="1"/>
    <xf numFmtId="0" fontId="7" fillId="0" borderId="0" xfId="0" applyFont="1" applyFill="1"/>
    <xf numFmtId="0" fontId="7" fillId="0" borderId="0" xfId="0" applyFont="1" applyFill="1" applyAlignment="1">
      <alignment horizontal="left" indent="1"/>
    </xf>
    <xf numFmtId="164" fontId="7" fillId="0" borderId="0" xfId="160" applyNumberFormat="1" applyFont="1" applyFill="1" applyBorder="1" applyAlignment="1" applyProtection="1">
      <alignment horizontal="right"/>
    </xf>
    <xf numFmtId="164" fontId="7" fillId="0" borderId="0" xfId="160" applyNumberFormat="1" applyFont="1" applyFill="1" applyAlignment="1">
      <alignment horizontal="right"/>
    </xf>
    <xf numFmtId="0" fontId="7" fillId="30" borderId="0" xfId="0" applyFont="1" applyFill="1"/>
    <xf numFmtId="37" fontId="7" fillId="0" borderId="0" xfId="0" applyNumberFormat="1" applyFont="1" applyFill="1" applyBorder="1" applyAlignment="1" applyProtection="1">
      <alignment horizontal="right"/>
    </xf>
    <xf numFmtId="0" fontId="7" fillId="0" borderId="0" xfId="305" applyFont="1" applyFill="1"/>
    <xf numFmtId="37" fontId="75" fillId="0" borderId="0" xfId="0" applyNumberFormat="1" applyFont="1" applyFill="1" applyAlignment="1" applyProtection="1"/>
    <xf numFmtId="0" fontId="75" fillId="0" borderId="0" xfId="310" applyFont="1" applyFill="1"/>
    <xf numFmtId="41" fontId="20" fillId="0" borderId="0" xfId="160" applyNumberFormat="1" applyFont="1"/>
    <xf numFmtId="164" fontId="20" fillId="31" borderId="0" xfId="160" applyNumberFormat="1" applyFont="1" applyFill="1"/>
    <xf numFmtId="174" fontId="18" fillId="0" borderId="30" xfId="160" applyNumberFormat="1" applyFont="1" applyFill="1" applyBorder="1" applyAlignment="1">
      <alignment horizontal="center"/>
    </xf>
    <xf numFmtId="164" fontId="18" fillId="0" borderId="18" xfId="160" applyNumberFormat="1" applyFont="1" applyFill="1" applyBorder="1"/>
    <xf numFmtId="164" fontId="18" fillId="0" borderId="29" xfId="160" applyNumberFormat="1" applyFont="1" applyFill="1" applyBorder="1"/>
    <xf numFmtId="37" fontId="75" fillId="0" borderId="0" xfId="0" applyNumberFormat="1" applyFont="1" applyFill="1" applyProtection="1"/>
    <xf numFmtId="43" fontId="20" fillId="0" borderId="0" xfId="310" quotePrefix="1" applyNumberFormat="1" applyFont="1" applyFill="1" applyAlignment="1">
      <alignment horizontal="left"/>
    </xf>
    <xf numFmtId="164" fontId="18" fillId="30" borderId="18" xfId="160" applyNumberFormat="1" applyFont="1" applyFill="1" applyBorder="1"/>
    <xf numFmtId="16" fontId="20" fillId="0" borderId="0" xfId="310" quotePrefix="1" applyNumberFormat="1" applyFont="1" applyFill="1" applyAlignment="1">
      <alignment horizontal="center"/>
    </xf>
    <xf numFmtId="0" fontId="0" fillId="0" borderId="0" xfId="0" applyAlignment="1">
      <alignment vertical="top" wrapText="1"/>
    </xf>
    <xf numFmtId="0" fontId="25" fillId="0" borderId="0" xfId="0" applyFont="1"/>
    <xf numFmtId="164" fontId="20" fillId="0" borderId="0" xfId="160" quotePrefix="1" applyNumberFormat="1" applyFont="1" applyFill="1" applyBorder="1" applyAlignment="1">
      <alignment horizontal="left"/>
    </xf>
    <xf numFmtId="0" fontId="20" fillId="0" borderId="0" xfId="310" applyFont="1" applyAlignment="1">
      <alignment horizontal="center"/>
    </xf>
    <xf numFmtId="0" fontId="20" fillId="0" borderId="0" xfId="201" applyNumberFormat="1" applyFont="1" applyAlignment="1">
      <alignment horizontal="left"/>
    </xf>
    <xf numFmtId="0" fontId="20" fillId="0" borderId="0" xfId="201" applyNumberFormat="1" applyFont="1" applyAlignment="1">
      <alignment horizontal="left" indent="1"/>
    </xf>
    <xf numFmtId="43" fontId="20" fillId="0" borderId="0" xfId="160" applyFont="1"/>
    <xf numFmtId="0" fontId="18" fillId="0" borderId="0" xfId="310" applyFont="1"/>
    <xf numFmtId="0" fontId="20" fillId="0" borderId="0" xfId="160" applyNumberFormat="1" applyFont="1" applyFill="1" applyAlignment="1">
      <alignment horizontal="center"/>
    </xf>
    <xf numFmtId="49" fontId="20" fillId="0" borderId="0" xfId="310" quotePrefix="1" applyNumberFormat="1" applyFont="1" applyAlignment="1">
      <alignment horizontal="center"/>
    </xf>
    <xf numFmtId="164" fontId="20" fillId="0" borderId="0" xfId="160" quotePrefix="1" applyNumberFormat="1" applyFont="1" applyFill="1"/>
    <xf numFmtId="0" fontId="20" fillId="0" borderId="0" xfId="310" applyFont="1" applyAlignment="1">
      <alignment horizontal="center" vertical="center"/>
    </xf>
    <xf numFmtId="164" fontId="20" fillId="0" borderId="18" xfId="160" applyNumberFormat="1" applyFont="1" applyFill="1" applyBorder="1" applyAlignment="1">
      <alignment vertical="center"/>
    </xf>
    <xf numFmtId="49" fontId="18" fillId="0" borderId="0" xfId="310" applyNumberFormat="1" applyFont="1" applyAlignment="1">
      <alignment vertical="center"/>
    </xf>
    <xf numFmtId="0" fontId="18" fillId="0" borderId="0" xfId="310" applyFont="1" applyAlignment="1">
      <alignment vertical="center"/>
    </xf>
    <xf numFmtId="0" fontId="20" fillId="0" borderId="0" xfId="310" applyFont="1" applyAlignment="1">
      <alignment vertical="center"/>
    </xf>
    <xf numFmtId="164" fontId="20" fillId="0" borderId="0" xfId="160" applyNumberFormat="1" applyFont="1" applyFill="1" applyBorder="1" applyAlignment="1">
      <alignment vertical="center"/>
    </xf>
    <xf numFmtId="49" fontId="18" fillId="0" borderId="0" xfId="0" applyNumberFormat="1" applyFont="1" applyFill="1" applyAlignment="1" applyProtection="1">
      <alignment horizontal="center"/>
    </xf>
    <xf numFmtId="0" fontId="18" fillId="0" borderId="0" xfId="310" quotePrefix="1" applyFont="1" applyAlignment="1">
      <alignment horizontal="center"/>
    </xf>
    <xf numFmtId="17" fontId="58" fillId="0" borderId="0" xfId="0" applyNumberFormat="1" applyFont="1" applyFill="1" applyBorder="1" applyAlignment="1">
      <alignment horizontal="center"/>
    </xf>
    <xf numFmtId="37" fontId="20" fillId="0" borderId="0" xfId="0" applyNumberFormat="1" applyFont="1" applyFill="1" applyAlignment="1" applyProtection="1">
      <alignment horizontal="right"/>
    </xf>
    <xf numFmtId="0" fontId="20" fillId="0" borderId="0" xfId="0" applyFont="1" applyFill="1" applyAlignment="1">
      <alignment horizontal="left"/>
    </xf>
    <xf numFmtId="164" fontId="20" fillId="0" borderId="19" xfId="160" applyNumberFormat="1" applyFont="1" applyFill="1" applyBorder="1" applyAlignment="1" applyProtection="1">
      <alignment horizontal="right"/>
    </xf>
    <xf numFmtId="164" fontId="20" fillId="0" borderId="20" xfId="160" applyNumberFormat="1" applyFont="1" applyFill="1" applyBorder="1" applyAlignment="1" applyProtection="1">
      <alignment horizontal="right"/>
    </xf>
    <xf numFmtId="164" fontId="20" fillId="0" borderId="21" xfId="160" applyNumberFormat="1" applyFont="1" applyFill="1" applyBorder="1" applyAlignment="1" applyProtection="1">
      <alignment horizontal="right"/>
    </xf>
    <xf numFmtId="164" fontId="20" fillId="0" borderId="0" xfId="160" applyNumberFormat="1" applyFont="1" applyFill="1" applyBorder="1" applyAlignment="1" applyProtection="1">
      <alignment horizontal="right" vertical="center"/>
    </xf>
    <xf numFmtId="164" fontId="20" fillId="0" borderId="2" xfId="160" applyNumberFormat="1" applyFont="1" applyFill="1" applyBorder="1" applyAlignment="1" applyProtection="1">
      <alignment horizontal="right" vertical="center"/>
    </xf>
    <xf numFmtId="0" fontId="20" fillId="0" borderId="0" xfId="0" applyFont="1" applyFill="1" applyAlignment="1">
      <alignment horizontal="left" indent="1"/>
    </xf>
    <xf numFmtId="164" fontId="20" fillId="0" borderId="0" xfId="160" applyNumberFormat="1" applyFont="1" applyFill="1" applyAlignment="1">
      <alignment horizontal="right"/>
    </xf>
    <xf numFmtId="0" fontId="20" fillId="30" borderId="0" xfId="0" applyFont="1" applyFill="1"/>
    <xf numFmtId="0" fontId="20" fillId="0" borderId="0" xfId="307" applyFont="1" applyFill="1" applyAlignment="1"/>
    <xf numFmtId="37" fontId="20" fillId="0" borderId="0" xfId="0" applyNumberFormat="1" applyFont="1" applyFill="1" applyBorder="1" applyAlignment="1" applyProtection="1">
      <alignment horizontal="right"/>
    </xf>
    <xf numFmtId="0" fontId="20" fillId="0" borderId="0" xfId="307" applyFont="1" applyFill="1" applyAlignment="1">
      <alignment horizontal="left" indent="1"/>
    </xf>
    <xf numFmtId="164" fontId="20" fillId="0" borderId="19" xfId="160" applyNumberFormat="1" applyFont="1" applyBorder="1"/>
    <xf numFmtId="164" fontId="20" fillId="0" borderId="20" xfId="160" applyNumberFormat="1" applyFont="1" applyBorder="1"/>
    <xf numFmtId="49" fontId="20" fillId="0" borderId="0" xfId="310" applyNumberFormat="1" applyFont="1" applyAlignment="1"/>
    <xf numFmtId="164" fontId="20" fillId="0" borderId="21" xfId="176" applyNumberFormat="1" applyFont="1" applyFill="1" applyBorder="1"/>
    <xf numFmtId="164" fontId="20" fillId="0" borderId="21" xfId="160" applyNumberFormat="1" applyFont="1" applyBorder="1"/>
    <xf numFmtId="164" fontId="20" fillId="0" borderId="0" xfId="0" applyNumberFormat="1" applyFont="1" applyFill="1"/>
    <xf numFmtId="37" fontId="20" fillId="0" borderId="0" xfId="0" applyNumberFormat="1" applyFont="1" applyFill="1" applyAlignment="1" applyProtection="1"/>
    <xf numFmtId="173" fontId="20" fillId="0" borderId="0" xfId="160" applyNumberFormat="1" applyFont="1" applyFill="1"/>
    <xf numFmtId="168" fontId="20" fillId="0" borderId="0" xfId="160" applyNumberFormat="1" applyFont="1" applyFill="1"/>
    <xf numFmtId="164" fontId="18" fillId="0" borderId="31" xfId="160" quotePrefix="1" applyNumberFormat="1" applyFont="1" applyFill="1" applyBorder="1" applyAlignment="1"/>
    <xf numFmtId="164" fontId="18" fillId="0" borderId="0" xfId="160" quotePrefix="1" applyNumberFormat="1" applyFont="1" applyFill="1" applyBorder="1" applyAlignment="1"/>
    <xf numFmtId="174" fontId="18" fillId="0" borderId="0" xfId="160" applyNumberFormat="1" applyFont="1" applyFill="1" applyBorder="1" applyAlignment="1">
      <alignment horizontal="center"/>
    </xf>
    <xf numFmtId="164" fontId="20" fillId="0" borderId="1" xfId="160" applyNumberFormat="1" applyFont="1" applyFill="1" applyBorder="1"/>
    <xf numFmtId="0" fontId="25" fillId="0" borderId="0" xfId="0" applyFont="1" applyFill="1"/>
    <xf numFmtId="0" fontId="81" fillId="0" borderId="0" xfId="0" applyFont="1" applyFill="1"/>
    <xf numFmtId="0" fontId="58" fillId="0" borderId="0" xfId="0" applyFont="1" applyFill="1"/>
    <xf numFmtId="49" fontId="20" fillId="0" borderId="0" xfId="310" applyNumberFormat="1" applyFont="1" applyFill="1" applyAlignment="1">
      <alignment horizontal="left" indent="1"/>
    </xf>
    <xf numFmtId="0" fontId="20" fillId="0" borderId="0" xfId="310" applyFont="1" applyAlignment="1">
      <alignment horizontal="left" indent="2"/>
    </xf>
    <xf numFmtId="0" fontId="20" fillId="0" borderId="0" xfId="310" applyFont="1" applyFill="1" applyAlignment="1">
      <alignment horizontal="left" indent="2"/>
    </xf>
    <xf numFmtId="0" fontId="20" fillId="0" borderId="0" xfId="0" applyFont="1" applyFill="1" applyAlignment="1">
      <alignment horizontal="left" indent="2"/>
    </xf>
    <xf numFmtId="0" fontId="20" fillId="0" borderId="0" xfId="310" applyFont="1" applyAlignment="1">
      <alignment horizontal="left" indent="1"/>
    </xf>
    <xf numFmtId="0" fontId="18" fillId="0" borderId="0" xfId="0" applyNumberFormat="1" applyFont="1" applyFill="1"/>
    <xf numFmtId="0" fontId="20" fillId="0" borderId="0" xfId="310" applyFont="1" applyFill="1" applyAlignment="1">
      <alignment horizontal="left" indent="1"/>
    </xf>
    <xf numFmtId="49" fontId="20" fillId="0" borderId="0" xfId="160" applyNumberFormat="1" applyFont="1" applyFill="1" applyAlignment="1">
      <alignment horizontal="left" indent="1"/>
    </xf>
    <xf numFmtId="0" fontId="18" fillId="0" borderId="0" xfId="0" applyFont="1" applyFill="1"/>
    <xf numFmtId="0" fontId="18" fillId="0" borderId="0" xfId="0" applyFont="1" applyFill="1" applyAlignment="1">
      <alignment horizontal="left"/>
    </xf>
    <xf numFmtId="0" fontId="18" fillId="0" borderId="0" xfId="310" applyFont="1" applyAlignment="1">
      <alignment horizontal="left" indent="1"/>
    </xf>
    <xf numFmtId="164" fontId="25" fillId="0" borderId="0" xfId="160" applyNumberFormat="1" applyFont="1" applyFill="1"/>
    <xf numFmtId="164" fontId="25" fillId="0" borderId="0" xfId="160" applyNumberFormat="1" applyFont="1" applyFill="1" applyBorder="1"/>
    <xf numFmtId="0" fontId="25" fillId="0" borderId="0" xfId="0" applyFont="1" applyFill="1" applyBorder="1"/>
    <xf numFmtId="0" fontId="82" fillId="0" borderId="1" xfId="0" applyNumberFormat="1" applyFont="1" applyBorder="1" applyAlignment="1">
      <alignment horizontal="center" vertical="center" wrapText="1"/>
    </xf>
    <xf numFmtId="0" fontId="20" fillId="30" borderId="0" xfId="310" applyFont="1" applyFill="1"/>
    <xf numFmtId="164" fontId="20" fillId="30" borderId="0" xfId="160" applyNumberFormat="1" applyFont="1" applyFill="1" applyBorder="1"/>
    <xf numFmtId="0" fontId="18" fillId="0" borderId="0" xfId="310" applyFont="1" applyFill="1" applyAlignment="1">
      <alignment horizontal="center" vertical="center" wrapText="1"/>
    </xf>
    <xf numFmtId="0" fontId="83" fillId="0" borderId="0" xfId="310" applyFont="1"/>
    <xf numFmtId="0" fontId="84" fillId="0" borderId="0" xfId="310" applyFont="1" applyAlignment="1">
      <alignment horizontal="center"/>
    </xf>
    <xf numFmtId="0" fontId="85" fillId="0" borderId="0" xfId="310" applyFont="1" applyAlignment="1">
      <alignment horizontal="center"/>
    </xf>
    <xf numFmtId="0" fontId="85" fillId="0" borderId="0" xfId="310" applyFont="1"/>
    <xf numFmtId="0" fontId="83" fillId="0" borderId="0" xfId="310" applyFont="1" applyFill="1"/>
    <xf numFmtId="164" fontId="83" fillId="0" borderId="0" xfId="160" applyNumberFormat="1" applyFont="1"/>
    <xf numFmtId="0" fontId="83" fillId="0" borderId="0" xfId="201" applyNumberFormat="1" applyFont="1" applyAlignment="1"/>
    <xf numFmtId="0" fontId="83" fillId="0" borderId="0" xfId="310" applyFont="1" applyAlignment="1">
      <alignment horizontal="center"/>
    </xf>
    <xf numFmtId="43" fontId="83" fillId="0" borderId="0" xfId="160" applyFont="1" applyFill="1"/>
    <xf numFmtId="164" fontId="83" fillId="0" borderId="0" xfId="310" applyNumberFormat="1" applyFont="1"/>
    <xf numFmtId="164" fontId="83" fillId="0" borderId="0" xfId="160" applyNumberFormat="1" applyFont="1" applyFill="1" applyBorder="1"/>
    <xf numFmtId="0" fontId="83" fillId="0" borderId="0" xfId="310" applyFont="1" applyFill="1" applyAlignment="1">
      <alignment horizontal="center"/>
    </xf>
    <xf numFmtId="43" fontId="83" fillId="0" borderId="0" xfId="160" applyFont="1"/>
    <xf numFmtId="164" fontId="83" fillId="0" borderId="23" xfId="160" applyNumberFormat="1" applyFont="1" applyFill="1" applyBorder="1"/>
    <xf numFmtId="0" fontId="83" fillId="0" borderId="0" xfId="310" applyFont="1" applyAlignment="1">
      <alignment horizontal="left" indent="1"/>
    </xf>
    <xf numFmtId="0" fontId="83" fillId="0" borderId="0" xfId="201" applyNumberFormat="1" applyFont="1" applyAlignment="1">
      <alignment horizontal="left" indent="1"/>
    </xf>
    <xf numFmtId="0" fontId="85" fillId="0" borderId="0" xfId="160" applyNumberFormat="1" applyFont="1" applyAlignment="1"/>
    <xf numFmtId="0" fontId="83" fillId="0" borderId="0" xfId="201" applyNumberFormat="1" applyFont="1" applyFill="1" applyAlignment="1"/>
    <xf numFmtId="0" fontId="83" fillId="0" borderId="0" xfId="160" applyNumberFormat="1" applyFont="1" applyFill="1" applyAlignment="1">
      <alignment horizontal="center"/>
    </xf>
    <xf numFmtId="49" fontId="83" fillId="0" borderId="0" xfId="310" quotePrefix="1" applyNumberFormat="1" applyFont="1" applyAlignment="1">
      <alignment horizontal="center"/>
    </xf>
    <xf numFmtId="49" fontId="83" fillId="0" borderId="0" xfId="310" applyNumberFormat="1" applyFont="1" applyFill="1" applyAlignment="1">
      <alignment horizontal="center"/>
    </xf>
    <xf numFmtId="1" fontId="83" fillId="0" borderId="0" xfId="310" quotePrefix="1" applyNumberFormat="1" applyFont="1" applyAlignment="1">
      <alignment horizontal="center"/>
    </xf>
    <xf numFmtId="0" fontId="83" fillId="0" borderId="0" xfId="310" applyFont="1" applyAlignment="1">
      <alignment horizontal="center" vertical="center"/>
    </xf>
    <xf numFmtId="164" fontId="83" fillId="0" borderId="18" xfId="160" applyNumberFormat="1" applyFont="1" applyFill="1" applyBorder="1" applyAlignment="1">
      <alignment vertical="center"/>
    </xf>
    <xf numFmtId="164" fontId="83" fillId="0" borderId="0" xfId="160" applyNumberFormat="1" applyFont="1" applyFill="1" applyAlignment="1">
      <alignment vertical="center"/>
    </xf>
    <xf numFmtId="0" fontId="83" fillId="0" borderId="0" xfId="310" applyFont="1" applyAlignment="1">
      <alignment vertical="center"/>
    </xf>
    <xf numFmtId="49" fontId="85" fillId="0" borderId="0" xfId="310" applyNumberFormat="1" applyFont="1" applyAlignment="1">
      <alignment vertical="center"/>
    </xf>
    <xf numFmtId="164" fontId="83" fillId="0" borderId="0" xfId="160" applyNumberFormat="1" applyFont="1" applyFill="1" applyBorder="1" applyAlignment="1">
      <alignment vertical="center"/>
    </xf>
    <xf numFmtId="49" fontId="85" fillId="0" borderId="0" xfId="310" applyNumberFormat="1" applyFont="1"/>
    <xf numFmtId="164" fontId="83" fillId="0" borderId="0" xfId="310" applyNumberFormat="1" applyFont="1" applyFill="1"/>
    <xf numFmtId="43" fontId="83" fillId="0" borderId="0" xfId="160" applyFont="1" applyFill="1" applyBorder="1"/>
    <xf numFmtId="0" fontId="25" fillId="0" borderId="0" xfId="0" applyFont="1" applyAlignment="1">
      <alignment vertical="top" wrapText="1"/>
    </xf>
    <xf numFmtId="0" fontId="25" fillId="0" borderId="0" xfId="0" applyFont="1" applyAlignment="1">
      <alignment vertical="top"/>
    </xf>
    <xf numFmtId="0" fontId="85" fillId="0" borderId="0" xfId="310" quotePrefix="1" applyFont="1" applyFill="1" applyAlignment="1">
      <alignment horizontal="center"/>
    </xf>
    <xf numFmtId="0" fontId="25" fillId="0" borderId="0" xfId="0" applyFont="1" applyFill="1" applyAlignment="1">
      <alignment vertical="top"/>
    </xf>
    <xf numFmtId="0" fontId="18" fillId="0" borderId="0" xfId="0" applyFont="1" applyAlignment="1"/>
    <xf numFmtId="0" fontId="7" fillId="0" borderId="0" xfId="0" applyFont="1" applyAlignment="1">
      <alignment horizontal="center" vertical="top" wrapText="1"/>
    </xf>
    <xf numFmtId="164" fontId="7" fillId="0" borderId="0" xfId="160" applyNumberFormat="1" applyFont="1" applyFill="1" applyAlignment="1">
      <alignment horizontal="left" indent="1"/>
    </xf>
    <xf numFmtId="0" fontId="7" fillId="0" borderId="0" xfId="310" applyFont="1" applyBorder="1"/>
    <xf numFmtId="0" fontId="18" fillId="0" borderId="0" xfId="0" applyFont="1" applyFill="1" applyBorder="1"/>
    <xf numFmtId="0" fontId="25" fillId="0" borderId="0" xfId="0" applyFont="1" applyFill="1" applyAlignment="1">
      <alignment horizontal="justify" vertical="top"/>
    </xf>
    <xf numFmtId="0" fontId="21" fillId="0" borderId="0" xfId="310" applyFont="1" applyFill="1" applyAlignment="1">
      <alignment horizontal="centerContinuous"/>
    </xf>
    <xf numFmtId="0" fontId="18" fillId="0" borderId="0" xfId="0" applyFont="1" applyAlignment="1">
      <alignment horizontal="centerContinuous"/>
    </xf>
    <xf numFmtId="0" fontId="18" fillId="0" borderId="0" xfId="310" applyFont="1" applyFill="1" applyBorder="1" applyAlignment="1">
      <alignment horizontal="centerContinuous"/>
    </xf>
    <xf numFmtId="164" fontId="25" fillId="0" borderId="0" xfId="0" applyNumberFormat="1" applyFont="1" applyAlignment="1">
      <alignment vertical="top" wrapText="1"/>
    </xf>
    <xf numFmtId="0" fontId="20" fillId="0" borderId="0" xfId="310" applyFont="1" applyFill="1" applyBorder="1" applyAlignment="1"/>
    <xf numFmtId="0" fontId="25" fillId="33" borderId="0" xfId="0" applyFont="1" applyFill="1"/>
    <xf numFmtId="164" fontId="25" fillId="33" borderId="0" xfId="0" applyNumberFormat="1" applyFont="1" applyFill="1"/>
    <xf numFmtId="164" fontId="25" fillId="0" borderId="0" xfId="160" applyNumberFormat="1" applyFont="1"/>
    <xf numFmtId="164" fontId="25" fillId="0" borderId="0" xfId="0" applyNumberFormat="1" applyFont="1"/>
    <xf numFmtId="164" fontId="25" fillId="0" borderId="0" xfId="0" applyNumberFormat="1" applyFont="1" applyFill="1"/>
    <xf numFmtId="164" fontId="7" fillId="0" borderId="18" xfId="160" applyNumberFormat="1" applyFont="1" applyBorder="1"/>
    <xf numFmtId="164" fontId="0" fillId="0" borderId="0" xfId="0" applyNumberFormat="1"/>
    <xf numFmtId="0" fontId="75" fillId="0" borderId="0" xfId="310" quotePrefix="1" applyFont="1" applyFill="1" applyAlignment="1"/>
    <xf numFmtId="0" fontId="75" fillId="0" borderId="32" xfId="310" quotePrefix="1" applyFont="1" applyFill="1" applyBorder="1" applyAlignment="1"/>
    <xf numFmtId="0" fontId="75" fillId="0" borderId="7" xfId="310" quotePrefix="1" applyFont="1" applyFill="1" applyBorder="1" applyAlignment="1"/>
    <xf numFmtId="0" fontId="75" fillId="0" borderId="33" xfId="310" quotePrefix="1" applyFont="1" applyFill="1" applyBorder="1" applyAlignment="1"/>
    <xf numFmtId="0" fontId="20" fillId="0" borderId="0" xfId="310" applyFont="1" applyFill="1" applyAlignment="1">
      <alignment horizontal="center"/>
    </xf>
    <xf numFmtId="174" fontId="18" fillId="0" borderId="1" xfId="160" applyNumberFormat="1" applyFont="1" applyFill="1" applyBorder="1" applyAlignment="1">
      <alignment horizontal="center" wrapText="1"/>
    </xf>
    <xf numFmtId="164" fontId="18" fillId="0" borderId="1" xfId="160" applyNumberFormat="1" applyFont="1" applyFill="1" applyBorder="1" applyAlignment="1">
      <alignment horizontal="center" vertical="center"/>
    </xf>
    <xf numFmtId="0" fontId="20" fillId="0" borderId="0" xfId="310" applyFont="1" applyFill="1" applyAlignment="1">
      <alignment horizontal="left"/>
    </xf>
    <xf numFmtId="49" fontId="20" fillId="0" borderId="0" xfId="310" quotePrefix="1" applyNumberFormat="1" applyFont="1" applyFill="1" applyAlignment="1">
      <alignment horizontal="center"/>
    </xf>
    <xf numFmtId="0" fontId="13" fillId="0" borderId="0" xfId="0" applyFont="1"/>
    <xf numFmtId="164" fontId="83" fillId="0" borderId="21" xfId="160" applyNumberFormat="1" applyFont="1" applyFill="1" applyBorder="1"/>
    <xf numFmtId="0" fontId="18" fillId="0" borderId="0" xfId="387" applyNumberFormat="1" applyFont="1" applyFill="1" applyAlignment="1">
      <alignment vertical="center"/>
    </xf>
    <xf numFmtId="0" fontId="87" fillId="0" borderId="0" xfId="388" applyFont="1" applyFill="1" applyAlignment="1"/>
    <xf numFmtId="0" fontId="18" fillId="0" borderId="0" xfId="388" applyFont="1" applyFill="1" applyAlignment="1"/>
    <xf numFmtId="0" fontId="20" fillId="0" borderId="0" xfId="388" applyFont="1"/>
    <xf numFmtId="0" fontId="0" fillId="0" borderId="0" xfId="265" applyFont="1" applyAlignment="1"/>
    <xf numFmtId="164" fontId="88" fillId="0" borderId="0" xfId="388" applyNumberFormat="1" applyFont="1"/>
    <xf numFmtId="0" fontId="18" fillId="0" borderId="23" xfId="388" applyFont="1" applyFill="1" applyBorder="1" applyAlignment="1"/>
    <xf numFmtId="0" fontId="18" fillId="0" borderId="23" xfId="388" applyFont="1" applyBorder="1"/>
    <xf numFmtId="0" fontId="18" fillId="0" borderId="0" xfId="388" applyFont="1" applyFill="1" applyBorder="1" applyAlignment="1"/>
    <xf numFmtId="0" fontId="18" fillId="0" borderId="0" xfId="388" applyFont="1" applyBorder="1"/>
    <xf numFmtId="0" fontId="89" fillId="0" borderId="0" xfId="387" applyFont="1" applyFill="1" applyAlignment="1"/>
    <xf numFmtId="0" fontId="89" fillId="0" borderId="0" xfId="387" applyFont="1" applyFill="1" applyAlignment="1">
      <alignment horizontal="center" vertical="center" wrapText="1"/>
    </xf>
    <xf numFmtId="0" fontId="75" fillId="0" borderId="2" xfId="265" quotePrefix="1" applyFont="1" applyBorder="1" applyAlignment="1">
      <alignment vertical="top"/>
    </xf>
    <xf numFmtId="0" fontId="75" fillId="0" borderId="2" xfId="160" applyNumberFormat="1" applyFont="1" applyBorder="1" applyAlignment="1">
      <alignment horizontal="center"/>
    </xf>
    <xf numFmtId="0" fontId="75" fillId="0" borderId="0" xfId="265" quotePrefix="1" applyFont="1" applyBorder="1" applyAlignment="1">
      <alignment vertical="top"/>
    </xf>
    <xf numFmtId="0" fontId="90" fillId="0" borderId="0" xfId="387" applyFont="1" applyFill="1"/>
    <xf numFmtId="0" fontId="75" fillId="0" borderId="0" xfId="265" applyFont="1" applyBorder="1" applyAlignment="1">
      <alignment horizontal="center" vertical="center"/>
    </xf>
    <xf numFmtId="0" fontId="7" fillId="0" borderId="0" xfId="265" applyFont="1" applyBorder="1" applyAlignment="1">
      <alignment horizontal="center" vertical="center" wrapText="1"/>
    </xf>
    <xf numFmtId="0" fontId="75" fillId="0" borderId="0" xfId="160" applyNumberFormat="1" applyFont="1" applyBorder="1" applyAlignment="1">
      <alignment horizontal="center" vertical="center"/>
    </xf>
    <xf numFmtId="0" fontId="7" fillId="0" borderId="0" xfId="265" applyFont="1" applyBorder="1" applyAlignment="1">
      <alignment horizontal="center" vertical="top" wrapText="1"/>
    </xf>
    <xf numFmtId="0" fontId="75" fillId="0" borderId="0" xfId="388" applyFont="1" applyFill="1"/>
    <xf numFmtId="0" fontId="7" fillId="0" borderId="0" xfId="388" applyFont="1" applyFill="1"/>
    <xf numFmtId="0" fontId="75" fillId="0" borderId="0" xfId="312" applyFont="1" applyFill="1" applyAlignment="1">
      <alignment horizontal="left" vertical="top"/>
    </xf>
    <xf numFmtId="0" fontId="75" fillId="0" borderId="0" xfId="312" applyFont="1" applyFill="1" applyAlignment="1">
      <alignment horizontal="left" vertical="top" indent="1"/>
    </xf>
    <xf numFmtId="0" fontId="7" fillId="0" borderId="0" xfId="312" applyFont="1" applyFill="1" applyAlignment="1">
      <alignment horizontal="left" vertical="top" indent="1"/>
    </xf>
    <xf numFmtId="0" fontId="7" fillId="0" borderId="0" xfId="312" applyFont="1" applyFill="1" applyAlignment="1">
      <alignment horizontal="left" vertical="top"/>
    </xf>
    <xf numFmtId="0" fontId="20" fillId="0" borderId="0" xfId="389" applyFont="1" applyFill="1" applyAlignment="1">
      <alignment horizontal="left" vertical="top" indent="1"/>
    </xf>
    <xf numFmtId="0" fontId="25" fillId="0" borderId="0" xfId="265" applyFont="1" applyAlignment="1"/>
    <xf numFmtId="0" fontId="20" fillId="0" borderId="0" xfId="310" applyFont="1" applyFill="1" applyAlignment="1">
      <alignment horizontal="center"/>
    </xf>
    <xf numFmtId="0" fontId="20" fillId="0" borderId="0" xfId="201" applyNumberFormat="1" applyFont="1" applyFill="1" applyAlignment="1"/>
    <xf numFmtId="164" fontId="18" fillId="0" borderId="0" xfId="160" applyNumberFormat="1" applyFont="1" applyFill="1" applyAlignment="1">
      <alignment horizontal="right"/>
    </xf>
    <xf numFmtId="164" fontId="18" fillId="0" borderId="18" xfId="160" applyNumberFormat="1" applyFont="1" applyFill="1" applyBorder="1" applyAlignment="1" applyProtection="1">
      <alignment horizontal="right"/>
    </xf>
    <xf numFmtId="0" fontId="18" fillId="0" borderId="1" xfId="310" applyFont="1" applyBorder="1" applyAlignment="1">
      <alignment horizontal="center" vertical="center" wrapText="1"/>
    </xf>
    <xf numFmtId="0" fontId="82" fillId="0" borderId="23" xfId="0" applyNumberFormat="1" applyFont="1" applyBorder="1" applyAlignment="1">
      <alignment horizontal="center" vertical="center" wrapText="1"/>
    </xf>
    <xf numFmtId="0" fontId="7" fillId="0" borderId="0" xfId="310" applyFont="1" applyFill="1" applyAlignment="1">
      <alignment vertical="top"/>
    </xf>
    <xf numFmtId="0" fontId="82" fillId="0" borderId="0" xfId="0" applyFont="1"/>
    <xf numFmtId="37" fontId="20" fillId="0" borderId="0" xfId="310" applyNumberFormat="1" applyFont="1" applyFill="1" applyAlignment="1">
      <alignment horizontal="right" vertical="center" wrapText="1"/>
    </xf>
    <xf numFmtId="0" fontId="7" fillId="0" borderId="0" xfId="310" applyFont="1" applyAlignment="1">
      <alignment vertical="top"/>
    </xf>
    <xf numFmtId="1" fontId="83" fillId="0" borderId="0" xfId="310" applyNumberFormat="1" applyFont="1" applyFill="1" applyAlignment="1">
      <alignment horizontal="center"/>
    </xf>
    <xf numFmtId="1" fontId="83" fillId="0" borderId="0" xfId="160" applyNumberFormat="1" applyFont="1" applyFill="1" applyAlignment="1">
      <alignment horizontal="center"/>
    </xf>
    <xf numFmtId="164" fontId="83" fillId="0" borderId="19" xfId="160" applyNumberFormat="1" applyFont="1" applyFill="1" applyBorder="1"/>
    <xf numFmtId="164" fontId="83" fillId="0" borderId="20" xfId="160" applyNumberFormat="1" applyFont="1" applyFill="1" applyBorder="1"/>
    <xf numFmtId="164" fontId="83" fillId="0" borderId="21" xfId="160" applyNumberFormat="1" applyFont="1" applyBorder="1"/>
    <xf numFmtId="164" fontId="83" fillId="0" borderId="0" xfId="160" applyNumberFormat="1" applyFont="1" applyFill="1" applyBorder="1"/>
    <xf numFmtId="164" fontId="83" fillId="0" borderId="0" xfId="160" applyNumberFormat="1" applyFont="1" applyFill="1"/>
    <xf numFmtId="0" fontId="92" fillId="0" borderId="0" xfId="783" applyFont="1"/>
    <xf numFmtId="37" fontId="20" fillId="34" borderId="0" xfId="0" applyNumberFormat="1" applyFont="1" applyFill="1" applyProtection="1"/>
    <xf numFmtId="0" fontId="0" fillId="34" borderId="0" xfId="0" applyFill="1"/>
    <xf numFmtId="0" fontId="25" fillId="34" borderId="0" xfId="0" applyFont="1" applyFill="1"/>
    <xf numFmtId="0" fontId="20" fillId="0" borderId="0" xfId="310" applyFont="1" applyFill="1" applyAlignment="1">
      <alignment horizontal="center"/>
    </xf>
    <xf numFmtId="0" fontId="75" fillId="0" borderId="0" xfId="310" quotePrefix="1" applyFont="1" applyFill="1" applyAlignment="1">
      <alignment horizontal="center"/>
    </xf>
    <xf numFmtId="164" fontId="0" fillId="0" borderId="0" xfId="160" applyNumberFormat="1" applyFont="1"/>
    <xf numFmtId="0" fontId="20" fillId="0" borderId="0" xfId="0" applyFont="1" applyAlignment="1">
      <alignment horizontal="left" indent="1"/>
    </xf>
    <xf numFmtId="164" fontId="20" fillId="0" borderId="0" xfId="193" applyNumberFormat="1" applyFont="1" applyFill="1" applyBorder="1" applyAlignment="1"/>
    <xf numFmtId="164" fontId="20" fillId="0" borderId="19" xfId="193" applyNumberFormat="1" applyFont="1" applyFill="1" applyBorder="1" applyAlignment="1"/>
    <xf numFmtId="164" fontId="20" fillId="0" borderId="20" xfId="193" applyNumberFormat="1" applyFont="1" applyFill="1" applyBorder="1" applyAlignment="1"/>
    <xf numFmtId="164" fontId="20" fillId="0" borderId="21" xfId="193" applyNumberFormat="1" applyFont="1" applyFill="1" applyBorder="1" applyAlignment="1"/>
    <xf numFmtId="0" fontId="20" fillId="0" borderId="0" xfId="0" applyFont="1" applyFill="1" applyBorder="1"/>
    <xf numFmtId="164" fontId="20" fillId="0" borderId="18" xfId="160" applyNumberFormat="1" applyFont="1" applyFill="1" applyBorder="1" applyAlignment="1" applyProtection="1">
      <alignment horizontal="right"/>
    </xf>
    <xf numFmtId="0" fontId="18" fillId="0" borderId="0" xfId="310" applyFont="1" applyFill="1" applyBorder="1"/>
    <xf numFmtId="0" fontId="18" fillId="0" borderId="0" xfId="310" quotePrefix="1" applyFont="1" applyFill="1" applyAlignment="1">
      <alignment horizontal="left"/>
    </xf>
    <xf numFmtId="0" fontId="20" fillId="0" borderId="0" xfId="310" quotePrefix="1" applyFont="1" applyAlignment="1">
      <alignment horizontal="left" indent="2"/>
    </xf>
    <xf numFmtId="0" fontId="18" fillId="0" borderId="0" xfId="389" applyFont="1" applyFill="1"/>
    <xf numFmtId="164" fontId="20" fillId="0" borderId="0" xfId="160" applyNumberFormat="1" applyFont="1" applyFill="1" applyAlignment="1">
      <alignment horizontal="centerContinuous" vertical="top"/>
    </xf>
    <xf numFmtId="0" fontId="20" fillId="0" borderId="0" xfId="815" applyFont="1" applyFill="1" applyAlignment="1"/>
    <xf numFmtId="0" fontId="18" fillId="0" borderId="0" xfId="815" applyNumberFormat="1" applyFont="1" applyBorder="1" applyAlignment="1"/>
    <xf numFmtId="0" fontId="18" fillId="0" borderId="0" xfId="310" applyFont="1" applyFill="1"/>
    <xf numFmtId="0" fontId="20" fillId="0" borderId="0" xfId="310" applyNumberFormat="1" applyFont="1" applyAlignment="1">
      <alignment horizontal="left" vertical="top"/>
    </xf>
    <xf numFmtId="0" fontId="18" fillId="0" borderId="0" xfId="310" applyNumberFormat="1" applyFont="1" applyAlignment="1">
      <alignment horizontal="left" vertical="top"/>
    </xf>
    <xf numFmtId="0" fontId="20" fillId="0" borderId="0" xfId="310" applyFont="1" applyAlignment="1">
      <alignment vertical="top"/>
    </xf>
    <xf numFmtId="0" fontId="20" fillId="0" borderId="0" xfId="0" applyFont="1"/>
    <xf numFmtId="1" fontId="18" fillId="0" borderId="0" xfId="160" applyNumberFormat="1" applyFont="1" applyFill="1" applyAlignment="1">
      <alignment horizontal="left"/>
    </xf>
    <xf numFmtId="186" fontId="20" fillId="0" borderId="0" xfId="310" applyNumberFormat="1" applyFont="1" applyFill="1" applyAlignment="1">
      <alignment horizontal="justify" vertical="top"/>
    </xf>
    <xf numFmtId="0" fontId="20" fillId="0" borderId="0" xfId="0" applyFont="1" applyFill="1" applyAlignment="1">
      <alignment horizontal="left" vertical="top"/>
    </xf>
    <xf numFmtId="186" fontId="20" fillId="0" borderId="0" xfId="0" applyNumberFormat="1" applyFont="1"/>
    <xf numFmtId="0" fontId="20" fillId="0" borderId="0" xfId="310" applyNumberFormat="1" applyFont="1" applyFill="1" applyAlignment="1">
      <alignment horizontal="centerContinuous" vertical="top"/>
    </xf>
    <xf numFmtId="0" fontId="20" fillId="0" borderId="0" xfId="0" applyNumberFormat="1" applyFont="1" applyFill="1" applyAlignment="1">
      <alignment horizontal="centerContinuous" vertical="top"/>
    </xf>
    <xf numFmtId="0" fontId="18" fillId="0" borderId="0" xfId="310" applyFont="1" applyAlignment="1">
      <alignment horizontal="center"/>
    </xf>
    <xf numFmtId="0" fontId="20" fillId="0" borderId="0" xfId="0" applyFont="1" applyAlignment="1">
      <alignment horizontal="center"/>
    </xf>
    <xf numFmtId="164" fontId="20" fillId="0" borderId="0" xfId="160" applyNumberFormat="1" applyFont="1" applyAlignment="1">
      <alignment vertical="top"/>
    </xf>
    <xf numFmtId="164" fontId="20" fillId="0" borderId="0" xfId="160" applyNumberFormat="1" applyFont="1" applyBorder="1" applyAlignment="1">
      <alignment vertical="top"/>
    </xf>
    <xf numFmtId="164" fontId="16" fillId="0" borderId="0" xfId="160" applyNumberFormat="1" applyFont="1" applyFill="1" applyAlignment="1">
      <alignment vertical="top"/>
    </xf>
    <xf numFmtId="196" fontId="18" fillId="0" borderId="0" xfId="160" applyNumberFormat="1" applyFont="1" applyFill="1" applyAlignment="1">
      <alignment horizontal="left"/>
    </xf>
    <xf numFmtId="1" fontId="18" fillId="0" borderId="0" xfId="160" applyNumberFormat="1" applyFont="1" applyFill="1" applyAlignment="1">
      <alignment horizontal="center"/>
    </xf>
    <xf numFmtId="49" fontId="18" fillId="0" borderId="0" xfId="311" applyNumberFormat="1" applyFont="1" applyFill="1"/>
    <xf numFmtId="43" fontId="85" fillId="0" borderId="18" xfId="160" applyFont="1" applyFill="1" applyBorder="1"/>
    <xf numFmtId="0" fontId="75" fillId="0" borderId="0" xfId="310" quotePrefix="1" applyFont="1" applyFill="1" applyAlignment="1">
      <alignment horizontal="center"/>
    </xf>
    <xf numFmtId="164" fontId="85" fillId="0" borderId="0" xfId="160" quotePrefix="1" applyNumberFormat="1" applyFont="1" applyFill="1" applyAlignment="1">
      <alignment horizontal="center"/>
    </xf>
    <xf numFmtId="0" fontId="85" fillId="0" borderId="0" xfId="0" applyFont="1" applyAlignment="1">
      <alignment horizontal="center"/>
    </xf>
    <xf numFmtId="0" fontId="0" fillId="0" borderId="0" xfId="0" applyFill="1" applyAlignment="1">
      <alignment vertical="top"/>
    </xf>
    <xf numFmtId="0" fontId="18" fillId="0" borderId="0" xfId="310" applyFont="1" applyFill="1" applyAlignment="1">
      <alignment horizontal="center"/>
    </xf>
    <xf numFmtId="164" fontId="18" fillId="32" borderId="19" xfId="160" quotePrefix="1" applyNumberFormat="1" applyFont="1" applyFill="1" applyBorder="1" applyAlignment="1">
      <alignment horizontal="center" vertical="center" wrapText="1"/>
    </xf>
    <xf numFmtId="0" fontId="18" fillId="32" borderId="20" xfId="160" applyNumberFormat="1" applyFont="1" applyFill="1" applyBorder="1" applyAlignment="1">
      <alignment horizontal="center"/>
    </xf>
    <xf numFmtId="0" fontId="18" fillId="32" borderId="21" xfId="310" quotePrefix="1" applyFont="1" applyFill="1" applyBorder="1" applyAlignment="1">
      <alignment horizontal="center"/>
    </xf>
    <xf numFmtId="0" fontId="20" fillId="0" borderId="0" xfId="310" applyFont="1" applyBorder="1" applyAlignment="1">
      <alignment horizontal="left"/>
    </xf>
    <xf numFmtId="164" fontId="85" fillId="32" borderId="1" xfId="160" quotePrefix="1" applyNumberFormat="1" applyFont="1" applyFill="1" applyBorder="1" applyAlignment="1">
      <alignment horizontal="center"/>
    </xf>
    <xf numFmtId="49" fontId="85" fillId="32" borderId="0" xfId="310" applyNumberFormat="1" applyFont="1" applyFill="1"/>
    <xf numFmtId="0" fontId="84" fillId="32" borderId="0" xfId="310" applyFont="1" applyFill="1" applyAlignment="1">
      <alignment horizontal="center"/>
    </xf>
    <xf numFmtId="43" fontId="85" fillId="32" borderId="22" xfId="160" applyFont="1" applyFill="1" applyBorder="1"/>
    <xf numFmtId="0" fontId="18" fillId="0" borderId="0" xfId="0" applyFont="1" applyFill="1" applyAlignment="1">
      <alignment horizontal="left" vertical="top"/>
    </xf>
    <xf numFmtId="0" fontId="18" fillId="0" borderId="0" xfId="0" applyNumberFormat="1" applyFont="1" applyFill="1" applyAlignment="1">
      <alignment vertical="top"/>
    </xf>
    <xf numFmtId="0" fontId="20" fillId="0" borderId="0" xfId="0" applyFont="1" applyFill="1" applyAlignment="1"/>
    <xf numFmtId="0" fontId="18" fillId="0" borderId="0" xfId="0" quotePrefix="1" applyFont="1" applyFill="1" applyAlignment="1">
      <alignment horizontal="left" vertical="top"/>
    </xf>
    <xf numFmtId="0" fontId="20" fillId="0" borderId="0" xfId="0" applyFont="1" applyFill="1" applyAlignment="1">
      <alignment vertical="top"/>
    </xf>
    <xf numFmtId="164" fontId="18" fillId="0" borderId="0" xfId="160" applyNumberFormat="1" applyFont="1" applyFill="1" applyAlignment="1">
      <alignment horizontal="center" vertical="top"/>
    </xf>
    <xf numFmtId="164" fontId="20" fillId="0" borderId="0" xfId="160" applyNumberFormat="1" applyFont="1" applyFill="1" applyAlignment="1">
      <alignment vertical="center"/>
    </xf>
    <xf numFmtId="43" fontId="20" fillId="0" borderId="0" xfId="160" applyNumberFormat="1" applyFont="1" applyFill="1"/>
    <xf numFmtId="43" fontId="20" fillId="0" borderId="0" xfId="160" applyNumberFormat="1" applyFont="1"/>
    <xf numFmtId="0" fontId="18" fillId="0" borderId="0" xfId="310" applyFont="1" applyFill="1" applyAlignment="1">
      <alignment horizontal="center"/>
    </xf>
    <xf numFmtId="0" fontId="0" fillId="0" borderId="0" xfId="0" applyFill="1" applyAlignment="1">
      <alignment vertical="top"/>
    </xf>
    <xf numFmtId="43" fontId="20" fillId="0" borderId="0" xfId="160" applyFont="1" applyFill="1" applyBorder="1"/>
    <xf numFmtId="0" fontId="75" fillId="0" borderId="0" xfId="310" quotePrefix="1" applyFont="1" applyFill="1" applyAlignment="1">
      <alignment horizontal="center"/>
    </xf>
    <xf numFmtId="0" fontId="18" fillId="0" borderId="0" xfId="310" applyFont="1" applyFill="1" applyAlignment="1">
      <alignment horizontal="center"/>
    </xf>
    <xf numFmtId="0" fontId="20" fillId="0" borderId="0" xfId="310" applyFont="1" applyFill="1" applyAlignment="1">
      <alignment horizontal="justify" vertical="top"/>
    </xf>
    <xf numFmtId="0" fontId="20" fillId="0" borderId="0" xfId="0" applyFont="1" applyAlignment="1">
      <alignment horizontal="justify" vertical="top" wrapText="1"/>
    </xf>
    <xf numFmtId="0" fontId="18" fillId="0" borderId="0" xfId="311" quotePrefix="1" applyNumberFormat="1" applyFont="1" applyAlignment="1">
      <alignment horizontal="left" vertical="top"/>
    </xf>
    <xf numFmtId="0" fontId="18" fillId="0" borderId="0" xfId="311" applyNumberFormat="1" applyFont="1" applyAlignment="1">
      <alignment vertical="top"/>
    </xf>
    <xf numFmtId="0" fontId="22" fillId="0" borderId="0" xfId="311" applyFont="1" applyAlignment="1">
      <alignment horizontal="center" vertical="top"/>
    </xf>
    <xf numFmtId="0" fontId="20" fillId="0" borderId="0" xfId="311" applyFont="1" applyAlignment="1">
      <alignment vertical="top"/>
    </xf>
    <xf numFmtId="0" fontId="20" fillId="0" borderId="0" xfId="311" applyNumberFormat="1" applyFont="1" applyAlignment="1">
      <alignment horizontal="centerContinuous" vertical="top"/>
    </xf>
    <xf numFmtId="0" fontId="20" fillId="0" borderId="0" xfId="0" applyFont="1" applyAlignment="1" applyProtection="1"/>
    <xf numFmtId="0" fontId="20" fillId="0" borderId="0" xfId="311" applyFont="1" applyFill="1" applyBorder="1" applyAlignment="1">
      <alignment horizontal="justify" vertical="top"/>
    </xf>
    <xf numFmtId="0" fontId="20" fillId="0" borderId="0" xfId="297" applyFont="1" applyFill="1" applyBorder="1" applyAlignment="1"/>
    <xf numFmtId="0" fontId="18" fillId="0" borderId="0" xfId="160" quotePrefix="1" applyNumberFormat="1" applyFont="1" applyFill="1" applyAlignment="1">
      <alignment horizontal="center"/>
    </xf>
    <xf numFmtId="0" fontId="18" fillId="0" borderId="0" xfId="311" applyFont="1" applyFill="1" applyAlignment="1">
      <alignment horizontal="center"/>
    </xf>
    <xf numFmtId="0" fontId="20" fillId="0" borderId="0" xfId="0" applyFont="1" applyFill="1" applyAlignment="1">
      <alignment vertical="top" readingOrder="1"/>
    </xf>
    <xf numFmtId="164" fontId="20" fillId="0" borderId="0" xfId="160" applyNumberFormat="1" applyFont="1" applyFill="1" applyBorder="1" applyAlignment="1">
      <alignment horizontal="centerContinuous" vertical="top"/>
    </xf>
    <xf numFmtId="0" fontId="18" fillId="0" borderId="0" xfId="160" quotePrefix="1" applyNumberFormat="1" applyFont="1" applyFill="1" applyAlignment="1"/>
    <xf numFmtId="0" fontId="20" fillId="0" borderId="0" xfId="832" applyFont="1" applyFill="1" applyAlignment="1">
      <alignment vertical="top"/>
    </xf>
    <xf numFmtId="0" fontId="20" fillId="0" borderId="0" xfId="832" applyFont="1" applyFill="1" applyAlignment="1">
      <alignment horizontal="left"/>
    </xf>
    <xf numFmtId="0" fontId="18" fillId="0" borderId="0" xfId="832" applyNumberFormat="1" applyFont="1" applyFill="1" applyAlignment="1"/>
    <xf numFmtId="0" fontId="18" fillId="0" borderId="0" xfId="833" applyFont="1" applyFill="1" applyAlignment="1"/>
    <xf numFmtId="0" fontId="18" fillId="0" borderId="0" xfId="832" applyFont="1" applyFill="1" applyAlignment="1"/>
    <xf numFmtId="0" fontId="18" fillId="0" borderId="0" xfId="834" applyNumberFormat="1" applyFont="1" applyFill="1" applyAlignment="1"/>
    <xf numFmtId="43" fontId="21" fillId="0" borderId="0" xfId="310" applyNumberFormat="1" applyFont="1" applyAlignment="1">
      <alignment horizontal="center"/>
    </xf>
    <xf numFmtId="43" fontId="21" fillId="0" borderId="0" xfId="310" applyNumberFormat="1" applyFont="1" applyFill="1" applyAlignment="1">
      <alignment horizontal="center"/>
    </xf>
    <xf numFmtId="43" fontId="85" fillId="0" borderId="0" xfId="160" applyFont="1" applyFill="1" applyBorder="1"/>
    <xf numFmtId="0" fontId="84" fillId="0" borderId="23" xfId="310" applyFont="1" applyBorder="1" applyAlignment="1">
      <alignment horizontal="center"/>
    </xf>
    <xf numFmtId="43" fontId="83" fillId="0" borderId="23" xfId="160" applyFont="1" applyFill="1" applyBorder="1"/>
    <xf numFmtId="0" fontId="85" fillId="0" borderId="25" xfId="310" applyFont="1" applyBorder="1"/>
    <xf numFmtId="0" fontId="84" fillId="0" borderId="0" xfId="310" applyFont="1" applyBorder="1" applyAlignment="1">
      <alignment horizontal="center"/>
    </xf>
    <xf numFmtId="43" fontId="85" fillId="0" borderId="29" xfId="160" applyFont="1" applyFill="1" applyBorder="1"/>
    <xf numFmtId="0" fontId="85" fillId="0" borderId="26" xfId="310" applyFont="1" applyBorder="1"/>
    <xf numFmtId="0" fontId="84" fillId="0" borderId="2" xfId="310" applyFont="1" applyBorder="1" applyAlignment="1">
      <alignment horizontal="center"/>
    </xf>
    <xf numFmtId="43" fontId="85" fillId="0" borderId="2" xfId="160" applyFont="1" applyFill="1" applyBorder="1"/>
    <xf numFmtId="43" fontId="85" fillId="0" borderId="28" xfId="160" applyFont="1" applyFill="1" applyBorder="1"/>
    <xf numFmtId="43" fontId="83" fillId="0" borderId="0" xfId="160" applyNumberFormat="1" applyFont="1" applyFill="1" applyBorder="1"/>
    <xf numFmtId="43" fontId="85" fillId="0" borderId="27" xfId="160" applyNumberFormat="1" applyFont="1" applyFill="1" applyBorder="1"/>
    <xf numFmtId="0" fontId="24" fillId="0" borderId="0" xfId="303" applyFont="1" applyBorder="1" applyAlignment="1"/>
    <xf numFmtId="0" fontId="6" fillId="0" borderId="0" xfId="303" applyFont="1" applyBorder="1" applyAlignment="1"/>
    <xf numFmtId="164" fontId="59" fillId="0" borderId="0" xfId="607" applyNumberFormat="1" applyFont="1" applyBorder="1" applyAlignment="1">
      <alignment horizontal="center"/>
    </xf>
    <xf numFmtId="0" fontId="0" fillId="0" borderId="0" xfId="0" applyBorder="1"/>
    <xf numFmtId="43" fontId="0" fillId="0" borderId="0" xfId="0" applyNumberFormat="1" applyBorder="1"/>
    <xf numFmtId="164" fontId="0" fillId="0" borderId="0" xfId="0" applyNumberFormat="1" applyBorder="1"/>
    <xf numFmtId="0" fontId="0" fillId="0" borderId="0" xfId="0" applyFill="1" applyBorder="1"/>
    <xf numFmtId="164" fontId="0" fillId="0" borderId="0" xfId="160" applyNumberFormat="1" applyFont="1" applyBorder="1"/>
    <xf numFmtId="0" fontId="0" fillId="32" borderId="0" xfId="0" applyFill="1" applyBorder="1"/>
    <xf numFmtId="164" fontId="0" fillId="32" borderId="0" xfId="160" applyNumberFormat="1" applyFont="1" applyFill="1" applyBorder="1"/>
    <xf numFmtId="198" fontId="0" fillId="0" borderId="0" xfId="0" applyNumberFormat="1"/>
    <xf numFmtId="198" fontId="0" fillId="0" borderId="0" xfId="0" applyNumberFormat="1" applyBorder="1"/>
    <xf numFmtId="164" fontId="0" fillId="32" borderId="0" xfId="0" applyNumberFormat="1" applyFill="1" applyBorder="1"/>
    <xf numFmtId="164" fontId="18" fillId="0" borderId="0" xfId="160" applyNumberFormat="1" applyFont="1" applyFill="1" applyAlignment="1">
      <alignment horizontal="center"/>
    </xf>
    <xf numFmtId="164" fontId="18" fillId="32" borderId="1" xfId="160" quotePrefix="1" applyNumberFormat="1" applyFont="1" applyFill="1" applyBorder="1" applyAlignment="1">
      <alignment horizontal="center" vertical="center" wrapText="1"/>
    </xf>
    <xf numFmtId="0" fontId="83" fillId="0" borderId="0" xfId="310" quotePrefix="1" applyFont="1" applyAlignment="1">
      <alignment horizontal="center" vertical="top"/>
    </xf>
    <xf numFmtId="0" fontId="83" fillId="0" borderId="0" xfId="310" applyFont="1" applyAlignment="1">
      <alignment horizontal="center" vertical="top"/>
    </xf>
    <xf numFmtId="0" fontId="75" fillId="0" borderId="0" xfId="310" quotePrefix="1" applyFont="1" applyFill="1" applyAlignment="1">
      <alignment horizontal="center" vertical="top"/>
    </xf>
    <xf numFmtId="164" fontId="25" fillId="0" borderId="0" xfId="0" applyNumberFormat="1" applyFont="1" applyFill="1" applyAlignment="1">
      <alignment vertical="top"/>
    </xf>
    <xf numFmtId="173" fontId="18" fillId="0" borderId="22" xfId="160" applyNumberFormat="1" applyFont="1" applyFill="1" applyBorder="1"/>
    <xf numFmtId="0" fontId="18" fillId="0" borderId="1" xfId="160" applyNumberFormat="1" applyFont="1" applyFill="1" applyBorder="1" applyAlignment="1">
      <alignment horizontal="center"/>
    </xf>
    <xf numFmtId="173" fontId="18" fillId="0" borderId="0" xfId="310" applyNumberFormat="1" applyFont="1" applyFill="1" applyAlignment="1">
      <alignment horizontal="centerContinuous"/>
    </xf>
    <xf numFmtId="0" fontId="20" fillId="0" borderId="0" xfId="0" applyNumberFormat="1" applyFont="1" applyFill="1" applyAlignment="1">
      <alignment horizontal="justify" vertical="top" wrapText="1"/>
    </xf>
    <xf numFmtId="0" fontId="20" fillId="0" borderId="0" xfId="0" applyFont="1" applyFill="1" applyAlignment="1">
      <alignment horizontal="justify" vertical="top" wrapText="1"/>
    </xf>
    <xf numFmtId="0" fontId="20" fillId="0" borderId="0" xfId="311" applyFont="1" applyFill="1" applyBorder="1" applyAlignment="1">
      <alignment horizontal="justify" vertical="top"/>
    </xf>
    <xf numFmtId="0" fontId="18" fillId="0" borderId="0" xfId="160" applyNumberFormat="1" applyFont="1" applyFill="1" applyBorder="1" applyAlignment="1">
      <alignment horizontal="center"/>
    </xf>
    <xf numFmtId="173" fontId="18" fillId="0" borderId="0" xfId="160" applyNumberFormat="1" applyFont="1" applyFill="1" applyBorder="1"/>
    <xf numFmtId="164" fontId="18" fillId="32" borderId="1" xfId="160" applyNumberFormat="1" applyFont="1" applyFill="1" applyBorder="1" applyAlignment="1">
      <alignment horizontal="center" vertical="center" wrapText="1"/>
    </xf>
    <xf numFmtId="0" fontId="18" fillId="35" borderId="0" xfId="310" applyFont="1" applyFill="1" applyAlignment="1"/>
    <xf numFmtId="164" fontId="18" fillId="35" borderId="1" xfId="160" quotePrefix="1" applyNumberFormat="1" applyFont="1" applyFill="1" applyBorder="1" applyAlignment="1">
      <alignment horizontal="center" vertical="center" wrapText="1"/>
    </xf>
    <xf numFmtId="0" fontId="18" fillId="35" borderId="1" xfId="160" applyNumberFormat="1" applyFont="1" applyFill="1" applyBorder="1" applyAlignment="1">
      <alignment horizontal="center"/>
    </xf>
    <xf numFmtId="164" fontId="20" fillId="35" borderId="0" xfId="160" applyNumberFormat="1" applyFont="1" applyFill="1"/>
    <xf numFmtId="164" fontId="20" fillId="35" borderId="19" xfId="160" applyNumberFormat="1" applyFont="1" applyFill="1" applyBorder="1"/>
    <xf numFmtId="164" fontId="20" fillId="35" borderId="20" xfId="160" applyNumberFormat="1" applyFont="1" applyFill="1" applyBorder="1"/>
    <xf numFmtId="164" fontId="20" fillId="35" borderId="21" xfId="160" applyNumberFormat="1" applyFont="1" applyFill="1" applyBorder="1"/>
    <xf numFmtId="164" fontId="18" fillId="35" borderId="0" xfId="160" applyNumberFormat="1" applyFont="1" applyFill="1"/>
    <xf numFmtId="164" fontId="20" fillId="35" borderId="18" xfId="160" applyNumberFormat="1" applyFont="1" applyFill="1" applyBorder="1"/>
    <xf numFmtId="164" fontId="20" fillId="35" borderId="0" xfId="310" applyNumberFormat="1" applyFont="1" applyFill="1" applyAlignment="1">
      <alignment horizontal="center"/>
    </xf>
    <xf numFmtId="164" fontId="20" fillId="35" borderId="22" xfId="160" applyNumberFormat="1" applyFont="1" applyFill="1" applyBorder="1"/>
    <xf numFmtId="164" fontId="18" fillId="35" borderId="0" xfId="160" applyNumberFormat="1" applyFont="1" applyFill="1" applyBorder="1"/>
    <xf numFmtId="164" fontId="26" fillId="35" borderId="0" xfId="160" applyNumberFormat="1" applyFont="1" applyFill="1"/>
    <xf numFmtId="164" fontId="20" fillId="35" borderId="0" xfId="160" quotePrefix="1" applyNumberFormat="1" applyFont="1" applyFill="1" applyAlignment="1">
      <alignment horizontal="center"/>
    </xf>
    <xf numFmtId="164" fontId="18" fillId="35" borderId="0" xfId="160" applyNumberFormat="1" applyFont="1" applyFill="1" applyAlignment="1">
      <alignment horizontal="center"/>
    </xf>
    <xf numFmtId="43" fontId="20" fillId="35" borderId="22" xfId="160" applyNumberFormat="1" applyFont="1" applyFill="1" applyBorder="1"/>
    <xf numFmtId="43" fontId="20" fillId="35" borderId="0" xfId="160" applyNumberFormat="1" applyFont="1" applyFill="1" applyBorder="1"/>
    <xf numFmtId="164" fontId="20" fillId="35" borderId="0" xfId="160" applyNumberFormat="1" applyFont="1" applyFill="1" applyBorder="1"/>
    <xf numFmtId="0" fontId="18" fillId="35" borderId="0" xfId="310" applyFont="1" applyFill="1" applyAlignment="1">
      <alignment horizontal="center"/>
    </xf>
    <xf numFmtId="0" fontId="20" fillId="35" borderId="0" xfId="310" applyFont="1" applyFill="1"/>
    <xf numFmtId="0" fontId="18" fillId="35" borderId="0" xfId="310" applyFont="1" applyFill="1" applyBorder="1" applyAlignment="1"/>
    <xf numFmtId="164" fontId="20" fillId="35" borderId="0" xfId="160" quotePrefix="1" applyNumberFormat="1" applyFont="1" applyFill="1" applyBorder="1" applyAlignment="1">
      <alignment horizontal="left"/>
    </xf>
    <xf numFmtId="164" fontId="20" fillId="35" borderId="0" xfId="160" applyNumberFormat="1" applyFont="1" applyFill="1" applyAlignment="1">
      <alignment horizontal="left"/>
    </xf>
    <xf numFmtId="0" fontId="75" fillId="35" borderId="0" xfId="310" quotePrefix="1" applyFont="1" applyFill="1" applyAlignment="1">
      <alignment horizontal="center" vertical="top"/>
    </xf>
    <xf numFmtId="0" fontId="85" fillId="35" borderId="0" xfId="310" quotePrefix="1" applyFont="1" applyFill="1" applyAlignment="1">
      <alignment horizontal="center" vertical="top"/>
    </xf>
    <xf numFmtId="0" fontId="75" fillId="32" borderId="32" xfId="310" quotePrefix="1" applyFont="1" applyFill="1" applyBorder="1" applyAlignment="1">
      <alignment vertical="top"/>
    </xf>
    <xf numFmtId="164" fontId="18" fillId="32" borderId="19" xfId="160" applyNumberFormat="1" applyFont="1" applyFill="1" applyBorder="1" applyAlignment="1">
      <alignment horizontal="center" vertical="center" wrapText="1"/>
    </xf>
    <xf numFmtId="0" fontId="18" fillId="0" borderId="0" xfId="0" applyFont="1" applyAlignment="1">
      <alignment horizontal="center"/>
    </xf>
    <xf numFmtId="164" fontId="75" fillId="0" borderId="18" xfId="160" applyNumberFormat="1" applyFont="1" applyFill="1" applyBorder="1"/>
    <xf numFmtId="164" fontId="18" fillId="0" borderId="0" xfId="160" quotePrefix="1" applyNumberFormat="1" applyFont="1" applyFill="1" applyBorder="1" applyAlignment="1">
      <alignment horizontal="center" vertical="center" wrapText="1"/>
    </xf>
    <xf numFmtId="164" fontId="18" fillId="32" borderId="21" xfId="160" quotePrefix="1" applyNumberFormat="1" applyFont="1" applyFill="1" applyBorder="1" applyAlignment="1">
      <alignment horizontal="center" vertical="center" wrapText="1"/>
    </xf>
    <xf numFmtId="164" fontId="18" fillId="32" borderId="21" xfId="160" applyNumberFormat="1" applyFont="1" applyFill="1" applyBorder="1" applyAlignment="1">
      <alignment horizontal="center" vertical="center" wrapText="1"/>
    </xf>
    <xf numFmtId="0" fontId="18" fillId="0" borderId="27" xfId="310" applyFont="1" applyFill="1" applyBorder="1" applyAlignment="1">
      <alignment horizontal="center"/>
    </xf>
    <xf numFmtId="164" fontId="18" fillId="0" borderId="21" xfId="160" applyNumberFormat="1" applyFont="1" applyFill="1" applyBorder="1" applyAlignment="1">
      <alignment horizontal="center" vertical="center" wrapText="1"/>
    </xf>
    <xf numFmtId="0" fontId="18" fillId="0" borderId="19" xfId="160" applyNumberFormat="1" applyFont="1" applyFill="1" applyBorder="1" applyAlignment="1">
      <alignment horizontal="center"/>
    </xf>
    <xf numFmtId="164" fontId="18" fillId="0" borderId="22" xfId="160" applyNumberFormat="1" applyFont="1" applyFill="1" applyBorder="1"/>
    <xf numFmtId="37" fontId="20" fillId="0" borderId="0" xfId="310" applyNumberFormat="1" applyFont="1" applyFill="1" applyAlignment="1">
      <alignment horizontal="center"/>
    </xf>
    <xf numFmtId="164" fontId="20" fillId="35" borderId="23" xfId="160" applyNumberFormat="1" applyFont="1" applyFill="1" applyBorder="1"/>
    <xf numFmtId="164" fontId="20" fillId="0" borderId="0" xfId="310" applyNumberFormat="1" applyFont="1"/>
    <xf numFmtId="43" fontId="20" fillId="0" borderId="0" xfId="160" applyFont="1" applyBorder="1"/>
    <xf numFmtId="1" fontId="20" fillId="0" borderId="0" xfId="160" applyNumberFormat="1" applyFont="1" applyFill="1" applyAlignment="1">
      <alignment horizontal="center"/>
    </xf>
    <xf numFmtId="1" fontId="20" fillId="0" borderId="0" xfId="310" applyNumberFormat="1" applyFont="1" applyAlignment="1">
      <alignment horizontal="center"/>
    </xf>
    <xf numFmtId="1" fontId="20" fillId="0" borderId="0" xfId="310" quotePrefix="1" applyNumberFormat="1" applyFont="1" applyAlignment="1">
      <alignment horizontal="center"/>
    </xf>
    <xf numFmtId="164" fontId="20" fillId="35" borderId="18" xfId="160" applyNumberFormat="1" applyFont="1" applyFill="1" applyBorder="1" applyAlignment="1">
      <alignment vertical="center"/>
    </xf>
    <xf numFmtId="43" fontId="20" fillId="0" borderId="0" xfId="310" applyNumberFormat="1" applyFont="1"/>
    <xf numFmtId="164" fontId="20" fillId="35" borderId="0" xfId="160" applyNumberFormat="1" applyFont="1" applyFill="1" applyBorder="1" applyAlignment="1">
      <alignment vertical="center"/>
    </xf>
    <xf numFmtId="164" fontId="20" fillId="0" borderId="0" xfId="160" applyNumberFormat="1" applyFont="1" applyBorder="1" applyAlignment="1">
      <alignment vertical="center"/>
    </xf>
    <xf numFmtId="49" fontId="18" fillId="0" borderId="0" xfId="310" applyNumberFormat="1" applyFont="1"/>
    <xf numFmtId="164" fontId="20" fillId="35" borderId="0" xfId="310" applyNumberFormat="1" applyFont="1" applyFill="1"/>
    <xf numFmtId="0" fontId="18" fillId="0" borderId="0" xfId="310" quotePrefix="1" applyFont="1" applyFill="1" applyBorder="1" applyAlignment="1">
      <alignment vertical="top"/>
    </xf>
    <xf numFmtId="0" fontId="18" fillId="0" borderId="0" xfId="310" quotePrefix="1" applyFont="1" applyFill="1" applyBorder="1" applyAlignment="1">
      <alignment horizontal="center" vertical="top"/>
    </xf>
    <xf numFmtId="164" fontId="18" fillId="35" borderId="0" xfId="160" quotePrefix="1" applyNumberFormat="1" applyFont="1" applyFill="1" applyAlignment="1">
      <alignment horizontal="center"/>
    </xf>
    <xf numFmtId="43" fontId="18" fillId="35" borderId="22" xfId="160" applyFont="1" applyFill="1" applyBorder="1"/>
    <xf numFmtId="43" fontId="20" fillId="0" borderId="22" xfId="160" applyFont="1" applyFill="1" applyBorder="1"/>
    <xf numFmtId="0" fontId="18" fillId="0" borderId="0" xfId="160" quotePrefix="1" applyNumberFormat="1" applyFont="1" applyFill="1" applyAlignment="1">
      <alignment horizontal="center"/>
    </xf>
    <xf numFmtId="0" fontId="18" fillId="0" borderId="0" xfId="311" applyFont="1" applyFill="1" applyAlignment="1">
      <alignment horizontal="center"/>
    </xf>
    <xf numFmtId="0" fontId="20" fillId="0" borderId="0" xfId="310" applyFont="1" applyFill="1" applyAlignment="1">
      <alignment horizontal="justify" vertical="top"/>
    </xf>
    <xf numFmtId="172" fontId="20" fillId="0" borderId="0" xfId="310" applyNumberFormat="1" applyFont="1" applyFill="1" applyAlignment="1">
      <alignment vertical="top"/>
    </xf>
    <xf numFmtId="172" fontId="20" fillId="0" borderId="0" xfId="310" applyNumberFormat="1" applyFont="1" applyFill="1" applyAlignment="1">
      <alignment vertical="top" wrapText="1"/>
    </xf>
    <xf numFmtId="0" fontId="20" fillId="0" borderId="0" xfId="835" applyFont="1" applyFill="1" applyAlignment="1">
      <alignment vertical="top"/>
    </xf>
    <xf numFmtId="0" fontId="20" fillId="0" borderId="0" xfId="835" applyNumberFormat="1" applyFont="1" applyFill="1" applyAlignment="1">
      <alignment vertical="top"/>
    </xf>
    <xf numFmtId="37" fontId="20" fillId="0" borderId="0" xfId="835" applyNumberFormat="1" applyFont="1" applyFill="1" applyAlignment="1">
      <alignment vertical="top"/>
    </xf>
    <xf numFmtId="0" fontId="21" fillId="0" borderId="0" xfId="835" applyNumberFormat="1" applyFont="1" applyFill="1" applyAlignment="1">
      <alignment vertical="top"/>
    </xf>
    <xf numFmtId="0" fontId="21" fillId="0" borderId="0" xfId="835" applyFont="1" applyFill="1" applyAlignment="1">
      <alignment vertical="top"/>
    </xf>
    <xf numFmtId="0" fontId="20" fillId="0" borderId="0" xfId="310" applyFont="1" applyAlignment="1">
      <alignment horizontal="center" vertical="top"/>
    </xf>
    <xf numFmtId="164" fontId="20" fillId="0" borderId="0" xfId="308" applyNumberFormat="1" applyFont="1" applyFill="1" applyBorder="1" applyAlignment="1">
      <alignment horizontal="centerContinuous" vertical="top"/>
    </xf>
    <xf numFmtId="37" fontId="20" fillId="0" borderId="0" xfId="306" applyNumberFormat="1" applyFont="1" applyFill="1" applyBorder="1" applyAlignment="1"/>
    <xf numFmtId="164" fontId="20" fillId="0" borderId="0" xfId="160" applyNumberFormat="1" applyFont="1" applyFill="1" applyAlignment="1">
      <alignment horizontal="left"/>
    </xf>
    <xf numFmtId="164" fontId="16" fillId="0" borderId="0" xfId="160" applyNumberFormat="1" applyFont="1" applyFill="1"/>
    <xf numFmtId="164" fontId="20" fillId="0" borderId="18" xfId="308" applyNumberFormat="1" applyFont="1" applyFill="1" applyBorder="1" applyAlignment="1">
      <alignment horizontal="left" vertical="center"/>
    </xf>
    <xf numFmtId="0" fontId="18" fillId="0" borderId="0" xfId="310" quotePrefix="1" applyNumberFormat="1" applyFont="1" applyAlignment="1">
      <alignment horizontal="center" vertical="top"/>
    </xf>
    <xf numFmtId="0" fontId="18" fillId="0" borderId="0" xfId="310" applyNumberFormat="1" applyFont="1" applyAlignment="1">
      <alignment horizontal="center" vertical="top"/>
    </xf>
    <xf numFmtId="164" fontId="20" fillId="0" borderId="0" xfId="309" quotePrefix="1" applyNumberFormat="1" applyFont="1" applyFill="1" applyAlignment="1">
      <alignment horizontal="center"/>
    </xf>
    <xf numFmtId="164" fontId="20" fillId="0" borderId="18" xfId="309" quotePrefix="1" applyNumberFormat="1" applyFont="1" applyFill="1" applyBorder="1" applyAlignment="1">
      <alignment horizontal="center"/>
    </xf>
    <xf numFmtId="0" fontId="0" fillId="0" borderId="0" xfId="0" applyAlignment="1">
      <alignment vertical="top"/>
    </xf>
    <xf numFmtId="0" fontId="18" fillId="0" borderId="0" xfId="311" quotePrefix="1" applyFont="1" applyFill="1" applyAlignment="1"/>
    <xf numFmtId="186" fontId="20" fillId="0" borderId="0" xfId="0" applyNumberFormat="1" applyFont="1" applyBorder="1"/>
    <xf numFmtId="0" fontId="20" fillId="0" borderId="0" xfId="310" applyNumberFormat="1" applyFont="1" applyFill="1" applyBorder="1" applyAlignment="1">
      <alignment horizontal="justify" vertical="top"/>
    </xf>
    <xf numFmtId="164" fontId="20" fillId="0" borderId="0" xfId="310" applyNumberFormat="1" applyFont="1" applyFill="1" applyBorder="1" applyAlignment="1">
      <alignment horizontal="justify" vertical="top"/>
    </xf>
    <xf numFmtId="164" fontId="18" fillId="0" borderId="0" xfId="160" applyNumberFormat="1" applyFont="1" applyFill="1" applyBorder="1" applyAlignment="1">
      <alignment horizontal="center" vertical="center" wrapText="1"/>
    </xf>
    <xf numFmtId="164" fontId="18" fillId="0" borderId="0" xfId="160" quotePrefix="1" applyNumberFormat="1" applyFont="1" applyFill="1" applyAlignment="1">
      <alignment horizontal="center"/>
    </xf>
    <xf numFmtId="164" fontId="18" fillId="0" borderId="0" xfId="160" applyNumberFormat="1" applyFont="1" applyFill="1" applyBorder="1" applyAlignment="1"/>
    <xf numFmtId="164" fontId="18" fillId="0" borderId="0" xfId="160" applyNumberFormat="1" applyFont="1" applyBorder="1" applyAlignment="1">
      <alignment vertical="top"/>
    </xf>
    <xf numFmtId="164" fontId="18" fillId="0" borderId="18" xfId="310" applyNumberFormat="1" applyFont="1" applyFill="1" applyBorder="1" applyAlignment="1">
      <alignment horizontal="justify" vertical="top"/>
    </xf>
    <xf numFmtId="0" fontId="18" fillId="0" borderId="0" xfId="310" applyFont="1" applyFill="1" applyAlignment="1">
      <alignment horizontal="justify" vertical="top"/>
    </xf>
    <xf numFmtId="186" fontId="18" fillId="0" borderId="0" xfId="310" applyNumberFormat="1" applyFont="1" applyFill="1" applyAlignment="1">
      <alignment horizontal="justify" vertical="top"/>
    </xf>
    <xf numFmtId="164" fontId="18" fillId="0" borderId="0" xfId="160" applyNumberFormat="1" applyFont="1" applyFill="1" applyAlignment="1">
      <alignment horizontal="justify" vertical="top"/>
    </xf>
    <xf numFmtId="164" fontId="18" fillId="0" borderId="0" xfId="160" applyNumberFormat="1" applyFont="1" applyFill="1" applyBorder="1" applyAlignment="1">
      <alignment horizontal="center"/>
    </xf>
    <xf numFmtId="0" fontId="20" fillId="0" borderId="0" xfId="310" applyFont="1" applyFill="1" applyAlignment="1">
      <alignment vertical="center" readingOrder="1"/>
    </xf>
    <xf numFmtId="164" fontId="20" fillId="0" borderId="0" xfId="160" applyNumberFormat="1" applyFont="1" applyFill="1" applyAlignment="1">
      <alignment horizontal="right" vertical="center"/>
    </xf>
    <xf numFmtId="0" fontId="20" fillId="0" borderId="0" xfId="310" applyFont="1" applyFill="1" applyAlignment="1">
      <alignment vertical="top" readingOrder="1"/>
    </xf>
    <xf numFmtId="186" fontId="20" fillId="0" borderId="18" xfId="310" applyNumberFormat="1" applyFont="1" applyFill="1" applyBorder="1" applyAlignment="1">
      <alignment horizontal="right" vertical="center"/>
    </xf>
    <xf numFmtId="0" fontId="18" fillId="0" borderId="7" xfId="0" applyNumberFormat="1" applyFont="1" applyFill="1" applyBorder="1" applyAlignment="1">
      <alignment horizontal="center" vertical="top"/>
    </xf>
    <xf numFmtId="0" fontId="18" fillId="0" borderId="7" xfId="0" applyFont="1" applyBorder="1"/>
    <xf numFmtId="41" fontId="18" fillId="0" borderId="0" xfId="160" applyNumberFormat="1" applyFont="1"/>
    <xf numFmtId="0" fontId="18" fillId="0" borderId="0" xfId="310" quotePrefix="1" applyNumberFormat="1" applyFont="1" applyAlignment="1">
      <alignment vertical="top"/>
    </xf>
    <xf numFmtId="164" fontId="18" fillId="32" borderId="7" xfId="160" applyNumberFormat="1" applyFont="1" applyFill="1" applyBorder="1" applyAlignment="1">
      <alignment horizontal="center"/>
    </xf>
    <xf numFmtId="0" fontId="18" fillId="0" borderId="0" xfId="310" applyFont="1" applyFill="1" applyAlignment="1">
      <alignment vertical="center"/>
    </xf>
    <xf numFmtId="41" fontId="18" fillId="0" borderId="0" xfId="160" applyNumberFormat="1" applyFont="1" applyAlignment="1">
      <alignment vertical="center"/>
    </xf>
    <xf numFmtId="164" fontId="20" fillId="0" borderId="18" xfId="297" applyNumberFormat="1" applyFont="1" applyFill="1" applyBorder="1" applyAlignment="1"/>
    <xf numFmtId="0" fontId="75" fillId="0" borderId="0" xfId="310" quotePrefix="1" applyFont="1" applyFill="1" applyBorder="1" applyAlignment="1">
      <alignment horizontal="center" vertical="top"/>
    </xf>
    <xf numFmtId="164" fontId="20" fillId="0" borderId="22" xfId="160" applyNumberFormat="1" applyFont="1" applyBorder="1"/>
    <xf numFmtId="164" fontId="20" fillId="0" borderId="0" xfId="160" applyNumberFormat="1" applyFont="1" applyBorder="1"/>
    <xf numFmtId="164" fontId="20" fillId="0" borderId="18" xfId="160" applyNumberFormat="1" applyFont="1" applyBorder="1"/>
    <xf numFmtId="199" fontId="20" fillId="0" borderId="22" xfId="0" applyNumberFormat="1" applyFont="1" applyBorder="1"/>
    <xf numFmtId="186" fontId="20" fillId="0" borderId="0" xfId="310" applyNumberFormat="1" applyFont="1" applyFill="1" applyBorder="1" applyAlignment="1">
      <alignment horizontal="left" vertical="top"/>
    </xf>
    <xf numFmtId="1" fontId="21" fillId="0" borderId="0" xfId="310" applyNumberFormat="1" applyFont="1" applyAlignment="1">
      <alignment horizontal="center"/>
    </xf>
    <xf numFmtId="0" fontId="7" fillId="0" borderId="0" xfId="0" applyFont="1" applyBorder="1"/>
    <xf numFmtId="37" fontId="20" fillId="0" borderId="19" xfId="0" applyNumberFormat="1" applyFont="1" applyFill="1" applyBorder="1" applyAlignment="1" applyProtection="1">
      <alignment horizontal="right"/>
    </xf>
    <xf numFmtId="37" fontId="20" fillId="0" borderId="20" xfId="0" applyNumberFormat="1" applyFont="1" applyFill="1" applyBorder="1" applyAlignment="1" applyProtection="1">
      <alignment horizontal="right"/>
    </xf>
    <xf numFmtId="49" fontId="18" fillId="0" borderId="0" xfId="310" applyNumberFormat="1" applyFont="1" applyAlignment="1"/>
    <xf numFmtId="43" fontId="58" fillId="0" borderId="0" xfId="160" applyFont="1"/>
    <xf numFmtId="164" fontId="93" fillId="0" borderId="0" xfId="160" applyNumberFormat="1" applyFont="1"/>
    <xf numFmtId="43" fontId="93" fillId="0" borderId="0" xfId="160" applyFont="1"/>
    <xf numFmtId="164" fontId="81" fillId="0" borderId="0" xfId="160" applyNumberFormat="1" applyFont="1"/>
    <xf numFmtId="43" fontId="81" fillId="0" borderId="0" xfId="160" applyFont="1"/>
    <xf numFmtId="0" fontId="81" fillId="0" borderId="0" xfId="0" applyFont="1"/>
    <xf numFmtId="0" fontId="58" fillId="0" borderId="0" xfId="830" applyNumberFormat="1" applyFont="1"/>
    <xf numFmtId="164" fontId="93" fillId="0" borderId="0" xfId="160" applyNumberFormat="1" applyFont="1" applyAlignment="1">
      <alignment vertical="center" wrapText="1"/>
    </xf>
    <xf numFmtId="43" fontId="93" fillId="0" borderId="0" xfId="160" applyFont="1" applyAlignment="1">
      <alignment vertical="center" wrapText="1"/>
    </xf>
    <xf numFmtId="49" fontId="81" fillId="0" borderId="0" xfId="160" applyNumberFormat="1" applyFont="1"/>
    <xf numFmtId="43" fontId="58" fillId="0" borderId="1" xfId="160" applyFont="1" applyFill="1" applyBorder="1" applyAlignment="1">
      <alignment horizontal="center" vertical="center"/>
    </xf>
    <xf numFmtId="43" fontId="58" fillId="0" borderId="0" xfId="160" applyFont="1" applyFill="1" applyBorder="1" applyAlignment="1">
      <alignment vertical="center"/>
    </xf>
    <xf numFmtId="164" fontId="81" fillId="0" borderId="0" xfId="160" applyNumberFormat="1" applyFont="1" applyFill="1" applyBorder="1" applyAlignment="1">
      <alignment vertical="center"/>
    </xf>
    <xf numFmtId="49" fontId="20" fillId="0" borderId="0" xfId="0" applyNumberFormat="1" applyFont="1"/>
    <xf numFmtId="0" fontId="20" fillId="0" borderId="0" xfId="0" applyFont="1" applyBorder="1"/>
    <xf numFmtId="164" fontId="18" fillId="0" borderId="0" xfId="310" applyNumberFormat="1" applyFont="1" applyFill="1" applyAlignment="1">
      <alignment horizontal="centerContinuous"/>
    </xf>
    <xf numFmtId="164" fontId="18" fillId="0" borderId="0" xfId="160" applyNumberFormat="1" applyFont="1"/>
    <xf numFmtId="0" fontId="75" fillId="0" borderId="0" xfId="310" quotePrefix="1" applyFont="1" applyFill="1" applyAlignment="1">
      <alignment horizontal="center"/>
    </xf>
    <xf numFmtId="0" fontId="18" fillId="0" borderId="27" xfId="310" applyFont="1" applyFill="1" applyBorder="1" applyAlignment="1">
      <alignment horizontal="center"/>
    </xf>
    <xf numFmtId="0" fontId="18" fillId="0" borderId="0" xfId="310" applyFont="1" applyFill="1" applyAlignment="1">
      <alignment horizontal="center"/>
    </xf>
    <xf numFmtId="0" fontId="18" fillId="0" borderId="0" xfId="310" quotePrefix="1" applyNumberFormat="1" applyFont="1" applyAlignment="1">
      <alignment horizontal="center" vertical="top"/>
    </xf>
    <xf numFmtId="0" fontId="18" fillId="0" borderId="0" xfId="310" applyNumberFormat="1" applyFont="1" applyAlignment="1">
      <alignment horizontal="center" vertical="top"/>
    </xf>
    <xf numFmtId="164" fontId="18" fillId="32" borderId="20" xfId="160" quotePrefix="1" applyNumberFormat="1" applyFont="1" applyFill="1" applyBorder="1" applyAlignment="1">
      <alignment horizontal="center" vertical="center" wrapText="1"/>
    </xf>
    <xf numFmtId="164" fontId="18" fillId="32" borderId="20" xfId="160" applyNumberFormat="1" applyFont="1" applyFill="1" applyBorder="1" applyAlignment="1">
      <alignment horizontal="center" vertical="center" wrapText="1"/>
    </xf>
    <xf numFmtId="164" fontId="18" fillId="0" borderId="0" xfId="160" applyNumberFormat="1" applyFont="1" applyAlignment="1">
      <alignment vertical="top"/>
    </xf>
    <xf numFmtId="164" fontId="18" fillId="0" borderId="18" xfId="160" applyNumberFormat="1" applyFont="1" applyBorder="1" applyAlignment="1">
      <alignment vertical="top"/>
    </xf>
    <xf numFmtId="0" fontId="18" fillId="0" borderId="0" xfId="0" applyFont="1" applyAlignment="1">
      <alignment vertical="top"/>
    </xf>
    <xf numFmtId="200" fontId="20" fillId="0" borderId="0" xfId="310" applyNumberFormat="1" applyFont="1" applyAlignment="1">
      <alignment vertical="top"/>
    </xf>
    <xf numFmtId="200" fontId="18" fillId="0" borderId="0" xfId="160" applyNumberFormat="1" applyFont="1" applyFill="1" applyAlignment="1">
      <alignment horizontal="left"/>
    </xf>
    <xf numFmtId="164" fontId="20" fillId="0" borderId="18" xfId="160" applyNumberFormat="1" applyFont="1" applyFill="1" applyBorder="1" applyAlignment="1">
      <alignment horizontal="justify" vertical="top"/>
    </xf>
    <xf numFmtId="164" fontId="18" fillId="0" borderId="18" xfId="160" applyNumberFormat="1" applyFont="1" applyFill="1" applyBorder="1" applyAlignment="1">
      <alignment horizontal="justify" vertical="top"/>
    </xf>
    <xf numFmtId="200" fontId="20" fillId="0" borderId="0" xfId="310" applyNumberFormat="1" applyFont="1" applyFill="1" applyAlignment="1">
      <alignment horizontal="justify" vertical="top"/>
    </xf>
    <xf numFmtId="200" fontId="20" fillId="0" borderId="0" xfId="160" applyNumberFormat="1" applyFont="1" applyFill="1" applyAlignment="1">
      <alignment horizontal="left"/>
    </xf>
    <xf numFmtId="0" fontId="75" fillId="0" borderId="0" xfId="0" quotePrefix="1" applyFont="1" applyAlignment="1">
      <alignment horizontal="center" vertical="top"/>
    </xf>
    <xf numFmtId="0" fontId="18" fillId="0" borderId="0" xfId="310" applyNumberFormat="1" applyFont="1" applyAlignment="1">
      <alignment horizontal="center" vertical="top"/>
    </xf>
    <xf numFmtId="0" fontId="20" fillId="0" borderId="0" xfId="311" applyFont="1" applyFill="1" applyBorder="1" applyAlignment="1">
      <alignment horizontal="justify" vertical="top"/>
    </xf>
    <xf numFmtId="0" fontId="18" fillId="0" borderId="23" xfId="310" applyFont="1" applyFill="1" applyBorder="1" applyAlignment="1">
      <alignment horizontal="center"/>
    </xf>
    <xf numFmtId="0" fontId="18" fillId="0" borderId="2" xfId="310" applyFont="1" applyFill="1" applyBorder="1" applyAlignment="1">
      <alignment horizontal="center"/>
    </xf>
    <xf numFmtId="0" fontId="18" fillId="0" borderId="0" xfId="310" quotePrefix="1" applyFont="1" applyFill="1" applyAlignment="1">
      <alignment horizontal="center" vertical="top"/>
    </xf>
    <xf numFmtId="0" fontId="18" fillId="0" borderId="0" xfId="310" applyFont="1" applyFill="1" applyAlignment="1">
      <alignment horizontal="center" vertical="top"/>
    </xf>
    <xf numFmtId="0" fontId="18" fillId="0" borderId="0" xfId="310" applyNumberFormat="1" applyFont="1" applyBorder="1" applyAlignment="1">
      <alignment horizontal="center" vertical="top"/>
    </xf>
    <xf numFmtId="164" fontId="20" fillId="0" borderId="0" xfId="308" applyNumberFormat="1" applyFont="1" applyFill="1" applyBorder="1" applyAlignment="1">
      <alignment horizontal="left" vertical="center"/>
    </xf>
    <xf numFmtId="164" fontId="20" fillId="0" borderId="0" xfId="309" quotePrefix="1" applyNumberFormat="1" applyFont="1" applyFill="1" applyBorder="1" applyAlignment="1">
      <alignment horizontal="center"/>
    </xf>
    <xf numFmtId="164" fontId="18" fillId="0" borderId="18" xfId="308" applyNumberFormat="1" applyFont="1" applyFill="1" applyBorder="1" applyAlignment="1">
      <alignment horizontal="left" vertical="center"/>
    </xf>
    <xf numFmtId="0" fontId="18" fillId="0" borderId="0" xfId="310" applyNumberFormat="1" applyFont="1" applyFill="1" applyAlignment="1">
      <alignment horizontal="centerContinuous" vertical="top"/>
    </xf>
    <xf numFmtId="164" fontId="18" fillId="0" borderId="0" xfId="308" applyNumberFormat="1" applyFont="1" applyFill="1" applyBorder="1" applyAlignment="1">
      <alignment horizontal="centerContinuous" vertical="top"/>
    </xf>
    <xf numFmtId="164" fontId="18" fillId="0" borderId="0" xfId="160" applyNumberFormat="1" applyFont="1" applyFill="1" applyAlignment="1">
      <alignment horizontal="left"/>
    </xf>
    <xf numFmtId="164" fontId="18" fillId="0" borderId="0" xfId="160" applyNumberFormat="1" applyFont="1" applyFill="1" applyAlignment="1">
      <alignment horizontal="centerContinuous" vertical="top"/>
    </xf>
    <xf numFmtId="164" fontId="18" fillId="0" borderId="0" xfId="309" quotePrefix="1" applyNumberFormat="1" applyFont="1" applyFill="1" applyAlignment="1">
      <alignment horizontal="center"/>
    </xf>
    <xf numFmtId="0" fontId="18" fillId="0" borderId="0" xfId="309" quotePrefix="1" applyFont="1" applyFill="1" applyAlignment="1">
      <alignment horizontal="center"/>
    </xf>
    <xf numFmtId="0" fontId="18" fillId="0" borderId="0" xfId="304" applyFont="1" applyAlignment="1"/>
    <xf numFmtId="170" fontId="18" fillId="0" borderId="0" xfId="306" applyNumberFormat="1" applyFont="1" applyFill="1" applyBorder="1" applyAlignment="1"/>
    <xf numFmtId="0" fontId="18" fillId="0" borderId="0" xfId="304" applyFont="1" applyFill="1" applyBorder="1" applyAlignment="1"/>
    <xf numFmtId="164" fontId="18" fillId="0" borderId="18" xfId="309" quotePrefix="1" applyNumberFormat="1" applyFont="1" applyFill="1" applyBorder="1" applyAlignment="1">
      <alignment horizontal="center"/>
    </xf>
    <xf numFmtId="164" fontId="16" fillId="0" borderId="0" xfId="607" applyNumberFormat="1" applyFont="1" applyFill="1" applyBorder="1" applyAlignment="1">
      <alignment horizontal="center" vertical="top"/>
    </xf>
    <xf numFmtId="0" fontId="16" fillId="0" borderId="0" xfId="837" applyFont="1" applyFill="1" applyAlignment="1">
      <alignment horizontal="center" vertical="top"/>
    </xf>
    <xf numFmtId="0" fontId="16" fillId="0" borderId="0" xfId="837" applyFont="1" applyFill="1"/>
    <xf numFmtId="164" fontId="16" fillId="0" borderId="0" xfId="607" applyNumberFormat="1" applyFont="1" applyFill="1"/>
    <xf numFmtId="164" fontId="18" fillId="0" borderId="0" xfId="160" applyNumberFormat="1" applyFont="1" applyFill="1" applyAlignment="1">
      <alignment vertical="center" readingOrder="1"/>
    </xf>
    <xf numFmtId="164" fontId="18" fillId="0" borderId="0" xfId="160" applyNumberFormat="1" applyFont="1" applyFill="1" applyAlignment="1">
      <alignment horizontal="right" vertical="center"/>
    </xf>
    <xf numFmtId="186" fontId="18" fillId="0" borderId="18" xfId="310" applyNumberFormat="1" applyFont="1" applyFill="1" applyBorder="1" applyAlignment="1">
      <alignment horizontal="right" vertical="center"/>
    </xf>
    <xf numFmtId="0" fontId="18" fillId="0" borderId="0" xfId="310" applyFont="1" applyFill="1" applyAlignment="1">
      <alignment vertical="top" readingOrder="1"/>
    </xf>
    <xf numFmtId="3" fontId="18" fillId="0" borderId="0" xfId="310" applyNumberFormat="1" applyFont="1" applyFill="1" applyBorder="1" applyAlignment="1">
      <alignment horizontal="right" vertical="center"/>
    </xf>
    <xf numFmtId="0" fontId="18" fillId="0" borderId="0" xfId="310" quotePrefix="1" applyNumberFormat="1" applyFont="1" applyBorder="1" applyAlignment="1">
      <alignment horizontal="center" vertical="top"/>
    </xf>
    <xf numFmtId="0" fontId="18" fillId="0" borderId="0" xfId="389" quotePrefix="1" applyFont="1" applyFill="1" applyBorder="1" applyAlignment="1">
      <alignment horizontal="center"/>
    </xf>
    <xf numFmtId="199" fontId="18" fillId="0" borderId="22" xfId="0" applyNumberFormat="1" applyFont="1" applyBorder="1"/>
    <xf numFmtId="164" fontId="18" fillId="0" borderId="22" xfId="160" applyNumberFormat="1" applyFont="1" applyBorder="1"/>
    <xf numFmtId="186" fontId="18" fillId="0" borderId="0" xfId="0" applyNumberFormat="1" applyFont="1"/>
    <xf numFmtId="0" fontId="18" fillId="0" borderId="0" xfId="310" applyFont="1" applyFill="1" applyAlignment="1">
      <alignment horizontal="center"/>
    </xf>
    <xf numFmtId="0" fontId="18" fillId="0" borderId="0" xfId="0" applyFont="1" applyAlignment="1">
      <alignment horizontal="center"/>
    </xf>
    <xf numFmtId="0" fontId="20" fillId="0" borderId="0" xfId="311" applyFont="1" applyFill="1" applyBorder="1" applyAlignment="1">
      <alignment horizontal="justify" vertical="top"/>
    </xf>
    <xf numFmtId="0" fontId="20" fillId="35" borderId="0" xfId="310" applyFont="1" applyFill="1" applyAlignment="1">
      <alignment horizontal="center"/>
    </xf>
    <xf numFmtId="37" fontId="18" fillId="0" borderId="0" xfId="310" applyNumberFormat="1" applyFont="1" applyFill="1" applyAlignment="1"/>
    <xf numFmtId="37" fontId="18" fillId="0" borderId="0" xfId="768" applyNumberFormat="1" applyFont="1" applyFill="1" applyProtection="1"/>
    <xf numFmtId="37" fontId="20" fillId="0" borderId="0" xfId="0" applyNumberFormat="1" applyFont="1" applyFill="1" applyAlignment="1" applyProtection="1">
      <alignment vertical="top"/>
    </xf>
    <xf numFmtId="37" fontId="20" fillId="0" borderId="0" xfId="803" applyNumberFormat="1" applyFont="1" applyFill="1" applyAlignment="1" applyProtection="1">
      <alignment vertical="top"/>
    </xf>
    <xf numFmtId="164" fontId="16" fillId="0" borderId="0" xfId="198" applyNumberFormat="1" applyFont="1" applyFill="1"/>
    <xf numFmtId="0" fontId="16" fillId="0" borderId="0" xfId="306" applyFont="1" applyFill="1" applyAlignment="1"/>
    <xf numFmtId="0" fontId="20" fillId="0" borderId="0" xfId="198" applyNumberFormat="1" applyFont="1" applyFill="1" applyAlignment="1">
      <alignment vertical="top"/>
    </xf>
    <xf numFmtId="0" fontId="20" fillId="0" borderId="0" xfId="0" applyNumberFormat="1" applyFont="1" applyAlignment="1" applyProtection="1">
      <alignment vertical="top"/>
      <protection locked="0"/>
    </xf>
    <xf numFmtId="0" fontId="20" fillId="0" borderId="0" xfId="835" applyFont="1" applyFill="1"/>
    <xf numFmtId="0" fontId="20" fillId="0" borderId="0" xfId="311" applyNumberFormat="1" applyFont="1" applyAlignment="1">
      <alignment horizontal="left" vertical="top"/>
    </xf>
    <xf numFmtId="0" fontId="21" fillId="0" borderId="0" xfId="0" applyNumberFormat="1" applyFont="1" applyFill="1" applyAlignment="1">
      <alignment horizontal="left" vertical="top"/>
    </xf>
    <xf numFmtId="0" fontId="20" fillId="35" borderId="0" xfId="832" applyFont="1" applyFill="1" applyAlignment="1">
      <alignment vertical="top"/>
    </xf>
    <xf numFmtId="0" fontId="20" fillId="35" borderId="0" xfId="201" applyNumberFormat="1" applyFont="1" applyFill="1" applyAlignment="1"/>
    <xf numFmtId="196" fontId="18" fillId="0" borderId="0" xfId="160" applyNumberFormat="1" applyFont="1" applyAlignment="1">
      <alignment horizontal="left"/>
    </xf>
    <xf numFmtId="0" fontId="0" fillId="0" borderId="0" xfId="0" applyBorder="1" applyAlignment="1"/>
    <xf numFmtId="0" fontId="18" fillId="0" borderId="0" xfId="160" applyNumberFormat="1" applyFont="1" applyFill="1" applyAlignment="1">
      <alignment vertical="top"/>
    </xf>
    <xf numFmtId="0" fontId="20" fillId="0" borderId="0" xfId="310" applyNumberFormat="1" applyFont="1" applyFill="1" applyAlignment="1">
      <alignment horizontal="justify" vertical="top"/>
    </xf>
    <xf numFmtId="0" fontId="18" fillId="0" borderId="0" xfId="0" applyNumberFormat="1" applyFont="1" applyFill="1" applyAlignment="1">
      <alignment horizontal="left" vertical="top" indent="1"/>
    </xf>
    <xf numFmtId="164" fontId="18" fillId="0" borderId="19" xfId="160" applyNumberFormat="1" applyFont="1" applyFill="1" applyBorder="1" applyAlignment="1">
      <alignment horizontal="justify" vertical="top"/>
    </xf>
    <xf numFmtId="0" fontId="18" fillId="0" borderId="0" xfId="310" applyNumberFormat="1" applyFont="1" applyFill="1" applyAlignment="1">
      <alignment horizontal="justify" vertical="top"/>
    </xf>
    <xf numFmtId="186" fontId="20" fillId="0" borderId="0" xfId="0" applyNumberFormat="1" applyFont="1" applyFill="1" applyBorder="1"/>
    <xf numFmtId="164" fontId="20" fillId="0" borderId="19" xfId="160" applyNumberFormat="1" applyFont="1" applyFill="1" applyBorder="1" applyAlignment="1">
      <alignment horizontal="justify" vertical="top"/>
    </xf>
    <xf numFmtId="0" fontId="20" fillId="0" borderId="0" xfId="0" applyNumberFormat="1" applyFont="1" applyFill="1" applyAlignment="1">
      <alignment horizontal="left" vertical="top"/>
    </xf>
    <xf numFmtId="0" fontId="18" fillId="0" borderId="20" xfId="310" applyNumberFormat="1" applyFont="1" applyFill="1" applyBorder="1" applyAlignment="1">
      <alignment horizontal="justify" vertical="top"/>
    </xf>
    <xf numFmtId="0" fontId="20" fillId="0" borderId="20" xfId="310" applyNumberFormat="1" applyFont="1" applyFill="1" applyBorder="1" applyAlignment="1">
      <alignment horizontal="justify" vertical="top"/>
    </xf>
    <xf numFmtId="43" fontId="20" fillId="0" borderId="0" xfId="310" applyNumberFormat="1" applyFont="1" applyFill="1" applyAlignment="1">
      <alignment vertical="top"/>
    </xf>
    <xf numFmtId="164" fontId="18" fillId="0" borderId="21" xfId="160" applyNumberFormat="1" applyFont="1" applyFill="1" applyBorder="1" applyAlignment="1">
      <alignment horizontal="justify" vertical="top"/>
    </xf>
    <xf numFmtId="164" fontId="20" fillId="0" borderId="21" xfId="160" applyNumberFormat="1" applyFont="1" applyFill="1" applyBorder="1" applyAlignment="1">
      <alignment horizontal="justify" vertical="top"/>
    </xf>
    <xf numFmtId="164" fontId="18" fillId="0" borderId="0" xfId="310" applyNumberFormat="1" applyFont="1" applyFill="1" applyAlignment="1">
      <alignment horizontal="justify" vertical="top"/>
    </xf>
    <xf numFmtId="164" fontId="20" fillId="0" borderId="0" xfId="310" applyNumberFormat="1" applyFont="1" applyFill="1" applyAlignment="1">
      <alignment horizontal="justify" vertical="top"/>
    </xf>
    <xf numFmtId="0" fontId="20" fillId="0" borderId="0" xfId="0" applyNumberFormat="1" applyFont="1" applyFill="1" applyAlignment="1">
      <alignment horizontal="left" vertical="top" indent="1"/>
    </xf>
    <xf numFmtId="164" fontId="18" fillId="0" borderId="18" xfId="297" applyNumberFormat="1" applyFont="1" applyFill="1" applyBorder="1" applyAlignment="1"/>
    <xf numFmtId="173" fontId="20" fillId="0" borderId="22" xfId="160" applyNumberFormat="1" applyFont="1" applyBorder="1"/>
    <xf numFmtId="164" fontId="58" fillId="0" borderId="1" xfId="160" applyNumberFormat="1" applyFont="1" applyFill="1" applyBorder="1" applyAlignment="1">
      <alignment horizontal="centerContinuous" vertical="center" wrapText="1"/>
    </xf>
    <xf numFmtId="164" fontId="58" fillId="0" borderId="1" xfId="160" applyNumberFormat="1" applyFont="1" applyFill="1" applyBorder="1" applyAlignment="1">
      <alignment horizontal="center" vertical="center" wrapText="1"/>
    </xf>
    <xf numFmtId="43" fontId="58" fillId="0" borderId="1" xfId="160" applyFont="1" applyFill="1" applyBorder="1" applyAlignment="1">
      <alignment horizontal="center" vertical="center" wrapText="1"/>
    </xf>
    <xf numFmtId="43" fontId="58" fillId="0" borderId="1" xfId="160" applyFont="1" applyFill="1" applyBorder="1" applyAlignment="1">
      <alignment horizontal="centerContinuous" vertical="center" wrapText="1"/>
    </xf>
    <xf numFmtId="49" fontId="58" fillId="0" borderId="0" xfId="160" applyNumberFormat="1" applyFont="1" applyFill="1" applyBorder="1" applyAlignment="1">
      <alignment vertical="center"/>
    </xf>
    <xf numFmtId="164" fontId="58" fillId="0" borderId="0" xfId="160" quotePrefix="1" applyNumberFormat="1" applyFont="1" applyFill="1" applyBorder="1" applyAlignment="1">
      <alignment horizontal="left" vertical="center"/>
    </xf>
    <xf numFmtId="164" fontId="58" fillId="0" borderId="0" xfId="160" applyNumberFormat="1" applyFont="1" applyFill="1" applyBorder="1" applyAlignment="1">
      <alignment horizontal="centerContinuous" vertical="center"/>
    </xf>
    <xf numFmtId="164" fontId="58" fillId="0" borderId="0" xfId="160" quotePrefix="1" applyNumberFormat="1" applyFont="1" applyFill="1" applyBorder="1" applyAlignment="1">
      <alignment horizontal="centerContinuous" vertical="center"/>
    </xf>
    <xf numFmtId="43" fontId="58" fillId="0" borderId="0" xfId="160" applyFont="1" applyFill="1" applyBorder="1" applyAlignment="1">
      <alignment horizontal="centerContinuous" vertical="center"/>
    </xf>
    <xf numFmtId="49" fontId="58" fillId="0" borderId="0" xfId="160" quotePrefix="1" applyNumberFormat="1" applyFont="1" applyFill="1" applyBorder="1" applyAlignment="1">
      <alignment horizontal="left" vertical="center"/>
    </xf>
    <xf numFmtId="164" fontId="81" fillId="0" borderId="0" xfId="160" quotePrefix="1" applyNumberFormat="1" applyFont="1" applyFill="1" applyBorder="1" applyAlignment="1">
      <alignment horizontal="left" vertical="center"/>
    </xf>
    <xf numFmtId="49" fontId="20" fillId="0" borderId="0" xfId="0" applyNumberFormat="1" applyFont="1" applyBorder="1"/>
    <xf numFmtId="43" fontId="94" fillId="0" borderId="0" xfId="0" applyNumberFormat="1" applyFont="1" applyBorder="1"/>
    <xf numFmtId="164" fontId="58" fillId="0" borderId="7" xfId="160" quotePrefix="1" applyNumberFormat="1" applyFont="1" applyFill="1" applyBorder="1" applyAlignment="1">
      <alignment horizontal="left" vertical="center"/>
    </xf>
    <xf numFmtId="164" fontId="94" fillId="0" borderId="7" xfId="160" applyNumberFormat="1" applyFont="1" applyBorder="1"/>
    <xf numFmtId="43" fontId="94" fillId="0" borderId="7" xfId="160" applyFont="1" applyBorder="1"/>
    <xf numFmtId="43" fontId="94" fillId="0" borderId="0" xfId="160" applyFont="1" applyBorder="1"/>
    <xf numFmtId="164" fontId="94" fillId="0" borderId="0" xfId="160" applyNumberFormat="1" applyFont="1" applyBorder="1"/>
    <xf numFmtId="164" fontId="94" fillId="0" borderId="0" xfId="160" applyNumberFormat="1" applyFont="1"/>
    <xf numFmtId="43" fontId="94" fillId="0" borderId="0" xfId="160" applyFont="1"/>
    <xf numFmtId="49" fontId="94" fillId="0" borderId="0" xfId="0" applyNumberFormat="1" applyFont="1" applyBorder="1"/>
    <xf numFmtId="49" fontId="94" fillId="0" borderId="0" xfId="0" applyNumberFormat="1" applyFont="1"/>
    <xf numFmtId="49" fontId="81" fillId="0" borderId="0" xfId="160" applyNumberFormat="1" applyFont="1" applyFill="1" applyBorder="1" applyAlignment="1">
      <alignment vertical="center" wrapText="1"/>
    </xf>
    <xf numFmtId="164" fontId="58" fillId="0" borderId="18" xfId="160" quotePrefix="1" applyNumberFormat="1" applyFont="1" applyFill="1" applyBorder="1" applyAlignment="1">
      <alignment horizontal="left" vertical="center"/>
    </xf>
    <xf numFmtId="164" fontId="94" fillId="0" borderId="18" xfId="160" applyNumberFormat="1" applyFont="1" applyBorder="1"/>
    <xf numFmtId="43" fontId="94" fillId="0" borderId="18" xfId="160" applyFont="1" applyBorder="1"/>
    <xf numFmtId="0" fontId="18" fillId="0" borderId="33" xfId="271" applyFont="1" applyFill="1" applyBorder="1" applyAlignment="1">
      <alignment horizontal="center" vertical="center" wrapText="1"/>
    </xf>
    <xf numFmtId="0" fontId="18" fillId="0" borderId="1" xfId="271" applyFont="1" applyFill="1" applyBorder="1" applyAlignment="1">
      <alignment horizontal="center" vertical="center" wrapText="1"/>
    </xf>
    <xf numFmtId="0" fontId="20" fillId="0" borderId="0" xfId="271" applyFont="1" applyBorder="1"/>
    <xf numFmtId="0" fontId="20" fillId="0" borderId="0" xfId="271" applyFont="1"/>
    <xf numFmtId="0" fontId="95" fillId="0" borderId="0" xfId="271" applyFont="1"/>
    <xf numFmtId="0" fontId="95" fillId="0" borderId="0" xfId="271" applyFont="1" applyAlignment="1"/>
    <xf numFmtId="0" fontId="18" fillId="0" borderId="0" xfId="297" applyFont="1" applyFill="1" applyAlignment="1">
      <alignment horizontal="left"/>
    </xf>
    <xf numFmtId="43" fontId="20" fillId="0" borderId="0" xfId="0" applyNumberFormat="1" applyFont="1" applyFill="1" applyAlignment="1"/>
    <xf numFmtId="201" fontId="20" fillId="0" borderId="0" xfId="199" applyNumberFormat="1" applyFont="1" applyFill="1" applyBorder="1" applyAlignment="1"/>
    <xf numFmtId="9" fontId="20" fillId="0" borderId="0" xfId="337" applyFont="1" applyFill="1" applyAlignment="1">
      <alignment horizontal="center" vertical="center"/>
    </xf>
    <xf numFmtId="202" fontId="20" fillId="0" borderId="0" xfId="0" applyNumberFormat="1" applyFont="1" applyAlignment="1">
      <alignment horizontal="left"/>
    </xf>
    <xf numFmtId="0" fontId="20" fillId="0" borderId="0" xfId="297" applyFont="1" applyFill="1" applyAlignment="1">
      <alignment horizontal="center"/>
    </xf>
    <xf numFmtId="10" fontId="20" fillId="0" borderId="0" xfId="337" applyNumberFormat="1" applyFont="1" applyFill="1" applyAlignment="1"/>
    <xf numFmtId="0" fontId="18" fillId="0" borderId="0" xfId="297" applyFont="1" applyFill="1" applyAlignment="1"/>
    <xf numFmtId="0" fontId="20" fillId="0" borderId="0" xfId="297" applyFont="1" applyFill="1" applyAlignment="1"/>
    <xf numFmtId="43" fontId="20" fillId="0" borderId="0" xfId="297" applyNumberFormat="1" applyFont="1" applyFill="1" applyAlignment="1"/>
    <xf numFmtId="203" fontId="20" fillId="0" borderId="0" xfId="297" applyNumberFormat="1" applyFont="1" applyFill="1" applyAlignment="1"/>
    <xf numFmtId="164" fontId="20" fillId="0" borderId="7" xfId="160" applyNumberFormat="1" applyFont="1" applyFill="1" applyBorder="1" applyAlignment="1"/>
    <xf numFmtId="10" fontId="20" fillId="0" borderId="7" xfId="337" applyNumberFormat="1" applyFont="1" applyFill="1" applyBorder="1" applyAlignment="1"/>
    <xf numFmtId="164" fontId="20" fillId="0" borderId="0" xfId="199" applyNumberFormat="1" applyFont="1" applyFill="1" applyBorder="1" applyAlignment="1"/>
    <xf numFmtId="164" fontId="20" fillId="0" borderId="0" xfId="297" applyNumberFormat="1" applyFont="1" applyFill="1" applyAlignment="1"/>
    <xf numFmtId="0" fontId="0" fillId="0" borderId="0" xfId="0" applyAlignment="1"/>
    <xf numFmtId="0" fontId="20" fillId="0" borderId="0" xfId="0" applyFont="1" applyAlignment="1"/>
    <xf numFmtId="43" fontId="20" fillId="0" borderId="0" xfId="160" applyFont="1" applyAlignment="1"/>
    <xf numFmtId="0" fontId="49" fillId="0" borderId="0" xfId="0" applyFont="1" applyFill="1" applyAlignment="1" applyProtection="1">
      <alignment horizontal="center" vertical="top" wrapText="1"/>
      <protection locked="0"/>
    </xf>
    <xf numFmtId="16" fontId="20" fillId="0" borderId="0" xfId="310" quotePrefix="1" applyNumberFormat="1" applyFont="1" applyFill="1" applyAlignment="1">
      <alignment horizontal="center"/>
    </xf>
    <xf numFmtId="0" fontId="18" fillId="0" borderId="32" xfId="310" quotePrefix="1" applyFont="1" applyFill="1" applyBorder="1" applyAlignment="1">
      <alignment horizontal="center" vertical="center"/>
    </xf>
    <xf numFmtId="0" fontId="18" fillId="0" borderId="7" xfId="310" applyFont="1" applyFill="1" applyBorder="1" applyAlignment="1">
      <alignment horizontal="center" vertical="center"/>
    </xf>
    <xf numFmtId="0" fontId="18" fillId="0" borderId="33" xfId="310" applyFont="1" applyFill="1" applyBorder="1" applyAlignment="1">
      <alignment horizontal="center" vertical="center"/>
    </xf>
    <xf numFmtId="0" fontId="18" fillId="0" borderId="0" xfId="310" quotePrefix="1" applyFont="1" applyFill="1" applyAlignment="1">
      <alignment horizontal="center"/>
    </xf>
    <xf numFmtId="0" fontId="18" fillId="0" borderId="0" xfId="310" applyFont="1" applyFill="1" applyAlignment="1">
      <alignment horizontal="center"/>
    </xf>
    <xf numFmtId="164" fontId="18" fillId="32" borderId="32" xfId="160" quotePrefix="1" applyNumberFormat="1" applyFont="1" applyFill="1" applyBorder="1" applyAlignment="1">
      <alignment horizontal="center"/>
    </xf>
    <xf numFmtId="164" fontId="18" fillId="32" borderId="7" xfId="160" applyNumberFormat="1" applyFont="1" applyFill="1" applyBorder="1" applyAlignment="1">
      <alignment horizontal="center"/>
    </xf>
    <xf numFmtId="164" fontId="18" fillId="32" borderId="33" xfId="160" applyNumberFormat="1" applyFont="1" applyFill="1" applyBorder="1" applyAlignment="1">
      <alignment horizontal="center"/>
    </xf>
    <xf numFmtId="164" fontId="18" fillId="32" borderId="7" xfId="160" quotePrefix="1" applyNumberFormat="1" applyFont="1" applyFill="1" applyBorder="1" applyAlignment="1">
      <alignment horizontal="center"/>
    </xf>
    <xf numFmtId="164" fontId="18" fillId="32" borderId="33" xfId="160" quotePrefix="1" applyNumberFormat="1" applyFont="1" applyFill="1" applyBorder="1" applyAlignment="1">
      <alignment horizontal="center"/>
    </xf>
    <xf numFmtId="0" fontId="18" fillId="0" borderId="32" xfId="310" applyFont="1" applyFill="1" applyBorder="1" applyAlignment="1">
      <alignment horizontal="center" vertical="center"/>
    </xf>
    <xf numFmtId="0" fontId="18" fillId="0" borderId="0" xfId="0" applyFont="1" applyAlignment="1">
      <alignment horizontal="center"/>
    </xf>
    <xf numFmtId="164" fontId="18" fillId="0" borderId="32" xfId="160" quotePrefix="1" applyNumberFormat="1" applyFont="1" applyBorder="1" applyAlignment="1">
      <alignment horizontal="center"/>
    </xf>
    <xf numFmtId="164" fontId="18" fillId="0" borderId="7" xfId="160" applyNumberFormat="1" applyFont="1" applyBorder="1" applyAlignment="1">
      <alignment horizontal="center"/>
    </xf>
    <xf numFmtId="164" fontId="18" fillId="0" borderId="33" xfId="160" applyNumberFormat="1" applyFont="1" applyBorder="1" applyAlignment="1">
      <alignment horizontal="center"/>
    </xf>
    <xf numFmtId="0" fontId="18" fillId="32" borderId="32" xfId="310" quotePrefix="1" applyFont="1" applyFill="1" applyBorder="1" applyAlignment="1">
      <alignment horizontal="center" vertical="top"/>
    </xf>
    <xf numFmtId="0" fontId="18" fillId="32" borderId="7" xfId="310" quotePrefix="1" applyFont="1" applyFill="1" applyBorder="1" applyAlignment="1">
      <alignment horizontal="center" vertical="top"/>
    </xf>
    <xf numFmtId="0" fontId="18" fillId="32" borderId="33" xfId="310" quotePrefix="1" applyFont="1" applyFill="1" applyBorder="1" applyAlignment="1">
      <alignment horizontal="center" vertical="top"/>
    </xf>
    <xf numFmtId="0" fontId="82" fillId="0" borderId="23" xfId="0" quotePrefix="1" applyNumberFormat="1" applyFont="1" applyBorder="1" applyAlignment="1">
      <alignment horizontal="center" vertical="center" wrapText="1"/>
    </xf>
    <xf numFmtId="0" fontId="82" fillId="0" borderId="23" xfId="0" applyNumberFormat="1" applyFont="1" applyBorder="1" applyAlignment="1">
      <alignment horizontal="center" vertical="center" wrapText="1"/>
    </xf>
    <xf numFmtId="0" fontId="75" fillId="32" borderId="32" xfId="0" quotePrefix="1" applyFont="1" applyFill="1" applyBorder="1" applyAlignment="1">
      <alignment horizontal="center" vertical="top"/>
    </xf>
    <xf numFmtId="0" fontId="75" fillId="32" borderId="7" xfId="0" quotePrefix="1" applyFont="1" applyFill="1" applyBorder="1" applyAlignment="1">
      <alignment horizontal="center" vertical="top"/>
    </xf>
    <xf numFmtId="0" fontId="75" fillId="32" borderId="33" xfId="0" quotePrefix="1" applyFont="1" applyFill="1" applyBorder="1" applyAlignment="1">
      <alignment horizontal="center" vertical="top"/>
    </xf>
    <xf numFmtId="0" fontId="18" fillId="0" borderId="0" xfId="0" applyFont="1" applyFill="1" applyAlignment="1">
      <alignment horizontal="center"/>
    </xf>
    <xf numFmtId="0" fontId="75" fillId="32" borderId="32" xfId="310" quotePrefix="1" applyFont="1" applyFill="1" applyBorder="1" applyAlignment="1">
      <alignment horizontal="center" vertical="top"/>
    </xf>
    <xf numFmtId="0" fontId="75" fillId="32" borderId="7" xfId="310" quotePrefix="1" applyFont="1" applyFill="1" applyBorder="1" applyAlignment="1">
      <alignment horizontal="center" vertical="top"/>
    </xf>
    <xf numFmtId="0" fontId="75" fillId="32" borderId="33" xfId="310" quotePrefix="1" applyFont="1" applyFill="1" applyBorder="1" applyAlignment="1">
      <alignment horizontal="center" vertical="top"/>
    </xf>
    <xf numFmtId="0" fontId="75" fillId="0" borderId="0" xfId="310" quotePrefix="1" applyFont="1" applyFill="1" applyAlignment="1">
      <alignment horizontal="center"/>
    </xf>
    <xf numFmtId="0" fontId="75" fillId="0" borderId="0" xfId="0" quotePrefix="1" applyFont="1" applyAlignment="1">
      <alignment horizontal="center" vertical="top"/>
    </xf>
    <xf numFmtId="0" fontId="83" fillId="0" borderId="0" xfId="310" quotePrefix="1" applyFont="1" applyAlignment="1">
      <alignment horizontal="center"/>
    </xf>
    <xf numFmtId="0" fontId="83" fillId="0" borderId="0" xfId="310" applyFont="1" applyAlignment="1">
      <alignment horizontal="center"/>
    </xf>
    <xf numFmtId="0" fontId="18" fillId="0" borderId="32" xfId="310" applyFont="1" applyFill="1" applyBorder="1" applyAlignment="1">
      <alignment horizontal="center"/>
    </xf>
    <xf numFmtId="0" fontId="18" fillId="0" borderId="7" xfId="310" applyFont="1" applyFill="1" applyBorder="1" applyAlignment="1">
      <alignment horizontal="center"/>
    </xf>
    <xf numFmtId="0" fontId="18" fillId="0" borderId="33" xfId="310" applyFont="1" applyFill="1" applyBorder="1" applyAlignment="1">
      <alignment horizontal="center"/>
    </xf>
    <xf numFmtId="0" fontId="18" fillId="0" borderId="23" xfId="388" applyFont="1" applyFill="1" applyBorder="1" applyAlignment="1">
      <alignment horizontal="center" vertical="center" wrapText="1"/>
    </xf>
    <xf numFmtId="0" fontId="18" fillId="0" borderId="0" xfId="388" applyFont="1" applyFill="1" applyBorder="1" applyAlignment="1">
      <alignment horizontal="center" vertical="center" wrapText="1"/>
    </xf>
    <xf numFmtId="0" fontId="18" fillId="0" borderId="2" xfId="388" applyFont="1" applyFill="1" applyBorder="1" applyAlignment="1">
      <alignment horizontal="center" vertical="center" wrapText="1"/>
    </xf>
    <xf numFmtId="0" fontId="18" fillId="0" borderId="23" xfId="388" applyFont="1" applyBorder="1" applyAlignment="1">
      <alignment horizontal="center" vertical="center" wrapText="1"/>
    </xf>
    <xf numFmtId="0" fontId="18" fillId="0" borderId="0" xfId="388" applyFont="1" applyBorder="1" applyAlignment="1">
      <alignment horizontal="center" vertical="center" wrapText="1"/>
    </xf>
    <xf numFmtId="0" fontId="18" fillId="0" borderId="2" xfId="388" applyFont="1" applyBorder="1" applyAlignment="1">
      <alignment horizontal="center" vertical="center" wrapText="1"/>
    </xf>
    <xf numFmtId="0" fontId="75" fillId="0" borderId="0" xfId="311" quotePrefix="1" applyFont="1" applyFill="1" applyAlignment="1">
      <alignment horizontal="center"/>
    </xf>
    <xf numFmtId="0" fontId="18" fillId="0" borderId="32" xfId="310" quotePrefix="1" applyNumberFormat="1" applyFont="1" applyBorder="1" applyAlignment="1">
      <alignment horizontal="center" vertical="top"/>
    </xf>
    <xf numFmtId="0" fontId="18" fillId="0" borderId="7" xfId="310" quotePrefix="1" applyNumberFormat="1" applyFont="1" applyBorder="1" applyAlignment="1">
      <alignment horizontal="center" vertical="top"/>
    </xf>
    <xf numFmtId="0" fontId="18" fillId="0" borderId="33" xfId="310" quotePrefix="1" applyNumberFormat="1" applyFont="1" applyBorder="1" applyAlignment="1">
      <alignment horizontal="center" vertical="top"/>
    </xf>
    <xf numFmtId="0" fontId="18" fillId="0" borderId="32" xfId="271" applyFont="1" applyFill="1" applyBorder="1" applyAlignment="1">
      <alignment horizontal="center" vertical="center" wrapText="1"/>
    </xf>
    <xf numFmtId="0" fontId="18" fillId="0" borderId="7" xfId="271" applyFont="1" applyFill="1" applyBorder="1" applyAlignment="1">
      <alignment horizontal="center" vertical="center" wrapText="1"/>
    </xf>
    <xf numFmtId="0" fontId="18" fillId="0" borderId="33" xfId="271" applyFont="1" applyFill="1" applyBorder="1" applyAlignment="1">
      <alignment horizontal="center" vertical="center" wrapText="1"/>
    </xf>
    <xf numFmtId="0" fontId="18" fillId="0" borderId="24" xfId="271" applyFont="1" applyFill="1" applyBorder="1" applyAlignment="1">
      <alignment horizontal="center" vertical="center" wrapText="1"/>
    </xf>
    <xf numFmtId="0" fontId="18" fillId="0" borderId="26" xfId="271" applyFont="1" applyFill="1" applyBorder="1" applyAlignment="1">
      <alignment horizontal="center" vertical="center" wrapText="1"/>
    </xf>
    <xf numFmtId="43" fontId="18" fillId="0" borderId="0" xfId="160" quotePrefix="1" applyFont="1" applyAlignment="1">
      <alignment horizontal="center"/>
    </xf>
    <xf numFmtId="43" fontId="18" fillId="0" borderId="0" xfId="160" applyFont="1" applyAlignment="1">
      <alignment horizontal="center"/>
    </xf>
    <xf numFmtId="164" fontId="58" fillId="0" borderId="23" xfId="160" quotePrefix="1" applyNumberFormat="1" applyFont="1" applyFill="1" applyBorder="1" applyAlignment="1">
      <alignment horizontal="center" vertical="center"/>
    </xf>
    <xf numFmtId="0" fontId="20" fillId="0" borderId="0" xfId="311" applyNumberFormat="1" applyFont="1" applyFill="1" applyAlignment="1">
      <alignment horizontal="justify" vertical="top" wrapText="1"/>
    </xf>
    <xf numFmtId="0" fontId="0" fillId="0" borderId="0" xfId="0" applyAlignment="1">
      <alignment wrapText="1"/>
    </xf>
    <xf numFmtId="0" fontId="18" fillId="0" borderId="32" xfId="271" quotePrefix="1" applyFont="1" applyFill="1" applyBorder="1" applyAlignment="1">
      <alignment horizontal="center" vertical="center" wrapText="1"/>
    </xf>
    <xf numFmtId="0" fontId="18" fillId="0" borderId="7" xfId="271" quotePrefix="1" applyFont="1" applyFill="1" applyBorder="1" applyAlignment="1">
      <alignment horizontal="center" vertical="center" wrapText="1"/>
    </xf>
    <xf numFmtId="0" fontId="18" fillId="0" borderId="33" xfId="271" quotePrefix="1" applyFont="1" applyFill="1" applyBorder="1" applyAlignment="1">
      <alignment horizontal="center" vertical="center" wrapText="1"/>
    </xf>
    <xf numFmtId="0" fontId="18" fillId="0" borderId="19" xfId="271" applyFont="1" applyFill="1" applyBorder="1" applyAlignment="1">
      <alignment horizontal="center" vertical="center" wrapText="1"/>
    </xf>
    <xf numFmtId="0" fontId="18" fillId="0" borderId="21" xfId="271" applyFont="1" applyFill="1" applyBorder="1" applyAlignment="1">
      <alignment horizontal="center" vertical="center" wrapText="1"/>
    </xf>
    <xf numFmtId="0" fontId="18" fillId="0" borderId="27" xfId="271" applyFont="1" applyFill="1" applyBorder="1" applyAlignment="1">
      <alignment horizontal="center" vertical="center" wrapText="1"/>
    </xf>
    <xf numFmtId="0" fontId="18" fillId="0" borderId="28" xfId="271" applyFont="1" applyFill="1" applyBorder="1" applyAlignment="1">
      <alignment horizontal="center" vertical="center" wrapText="1"/>
    </xf>
    <xf numFmtId="0" fontId="18" fillId="0" borderId="32" xfId="310" quotePrefix="1" applyNumberFormat="1" applyFont="1" applyFill="1" applyBorder="1" applyAlignment="1">
      <alignment horizontal="center" vertical="top"/>
    </xf>
    <xf numFmtId="0" fontId="18" fillId="0" borderId="7" xfId="310" quotePrefix="1" applyNumberFormat="1" applyFont="1" applyFill="1" applyBorder="1" applyAlignment="1">
      <alignment horizontal="center" vertical="top"/>
    </xf>
    <xf numFmtId="0" fontId="18" fillId="0" borderId="33" xfId="310" quotePrefix="1" applyNumberFormat="1" applyFont="1" applyFill="1" applyBorder="1" applyAlignment="1">
      <alignment horizontal="center" vertical="top"/>
    </xf>
    <xf numFmtId="0" fontId="20" fillId="0" borderId="0" xfId="0" applyFont="1" applyFill="1" applyAlignment="1">
      <alignment horizontal="justify" vertical="top" wrapText="1" readingOrder="1"/>
    </xf>
    <xf numFmtId="186" fontId="18" fillId="0" borderId="7" xfId="0" applyNumberFormat="1" applyFont="1" applyBorder="1" applyAlignment="1">
      <alignment horizontal="center"/>
    </xf>
    <xf numFmtId="0" fontId="18" fillId="0" borderId="7" xfId="0" applyNumberFormat="1" applyFont="1" applyFill="1" applyBorder="1" applyAlignment="1">
      <alignment horizontal="center" vertical="top"/>
    </xf>
    <xf numFmtId="0" fontId="18" fillId="0" borderId="23" xfId="310" quotePrefix="1" applyNumberFormat="1" applyFont="1" applyBorder="1" applyAlignment="1">
      <alignment horizontal="center" vertical="top"/>
    </xf>
    <xf numFmtId="0" fontId="18" fillId="0" borderId="32" xfId="389" quotePrefix="1" applyFont="1" applyFill="1" applyBorder="1" applyAlignment="1">
      <alignment horizontal="center"/>
    </xf>
    <xf numFmtId="0" fontId="18" fillId="0" borderId="7" xfId="389" quotePrefix="1" applyFont="1" applyFill="1" applyBorder="1" applyAlignment="1">
      <alignment horizontal="center"/>
    </xf>
    <xf numFmtId="0" fontId="18" fillId="0" borderId="33" xfId="389" quotePrefix="1" applyFont="1" applyFill="1" applyBorder="1" applyAlignment="1">
      <alignment horizontal="center"/>
    </xf>
    <xf numFmtId="0" fontId="20" fillId="0" borderId="0" xfId="310" applyFont="1" applyFill="1" applyAlignment="1">
      <alignment horizontal="justify" vertical="top" wrapText="1"/>
    </xf>
    <xf numFmtId="0" fontId="0" fillId="0" borderId="0" xfId="0" applyAlignment="1">
      <alignment horizontal="justify" vertical="top" wrapText="1"/>
    </xf>
    <xf numFmtId="0" fontId="18" fillId="0" borderId="2" xfId="0" quotePrefix="1" applyFont="1" applyBorder="1" applyAlignment="1">
      <alignment horizontal="center"/>
    </xf>
    <xf numFmtId="0" fontId="18" fillId="0" borderId="2" xfId="0" applyFont="1" applyBorder="1" applyAlignment="1">
      <alignment horizontal="center"/>
    </xf>
  </cellXfs>
  <cellStyles count="838">
    <cellStyle name=" 1" xfId="1"/>
    <cellStyle name=" Writer Import]_x000d_&#10;Display Dialog=No_x000d_&#10;_x000d_&#10;[Horizontal Arrange]_x000d_&#10;Dimensions Interlocking=Yes_x000d_&#10;Sum Hierarchy=Yes_x000d_&#10;Generate" xfId="2"/>
    <cellStyle name=" Writer Import]_x000d_&#10;Display Dialog=No_x000d_&#10;_x000d_&#10;[Horizontal Arrange]_x000d_&#10;Dimensions Interlocking=Yes_x000d_&#10;Sum Hierarchy=Yes_x000d_&#10;Generate 2" xfId="390"/>
    <cellStyle name=" Writer Import]_x000d_&#10;Display Dialog=No_x000d_&#10;_x000d_&#10;[Horizontal Arrange]_x000d_&#10;Dimensions Interlocking=Yes_x000d_&#10;Sum Hierarchy=Yes_x000d_&#10;Generate 3" xfId="391"/>
    <cellStyle name=" Writer Import]_x000d_&#10;Display Dialog=No_x000d_&#10;_x000d_&#10;[Horizontal Arrange]_x000d_&#10;Dimensions Interlocking=Yes_x000d_&#10;Sum Hierarchy=Yes_x000d_&#10;Generate 4" xfId="392"/>
    <cellStyle name=" Writer Import]_x000d_&#10;Display Dialog=No_x000d_&#10;_x000d_&#10;[Horizontal Arrange]_x000d_&#10;Dimensions Interlocking=Yes_x000d_&#10;Sum Hierarchy=Yes_x000d_&#10;Generate_5.2" xfId="393"/>
    <cellStyle name="_accounts disclosure" xfId="3"/>
    <cellStyle name="_accounts disclosure 2" xfId="4"/>
    <cellStyle name="_accounts disclosure 3" xfId="394"/>
    <cellStyle name="_accounts disclosure 4" xfId="395"/>
    <cellStyle name="_accounts disclosure_31 Dec Accounts 2009-NIUT" xfId="5"/>
    <cellStyle name="_accounts disclosure_31 Dec Accounts 2009-NIUT after element" xfId="6"/>
    <cellStyle name="_accounts disclosure_31 Dec Accounts 2009-NIUT b" xfId="7"/>
    <cellStyle name="_accounts disclosure_5.2" xfId="396"/>
    <cellStyle name="_accounts disclosure_Accounts 2009-NIUT NON LOC-after RAJ final-signed" xfId="397"/>
    <cellStyle name="_accounts disclosure_After annexure changes NB final" xfId="8"/>
    <cellStyle name="_accounts disclosure_Cash Flow " xfId="398"/>
    <cellStyle name="_accounts disclosure_Cash flow working" xfId="399"/>
    <cellStyle name="_accounts disclosure_Distribution " xfId="400"/>
    <cellStyle name="_accounts disclosure_Final disclosure final" xfId="9"/>
    <cellStyle name="_accounts disclosure_Final RAJ-reviewed Feb 5" xfId="10"/>
    <cellStyle name="_accounts disclosure_Income Statement" xfId="401"/>
    <cellStyle name="_accounts disclosure_Notes 1-3" xfId="402"/>
    <cellStyle name="_accounts disclosure_Sheet2" xfId="403"/>
    <cellStyle name="_accounts disclosure_Statement of Financial Position" xfId="404"/>
    <cellStyle name="_accounts disclosure_UHF" xfId="405"/>
    <cellStyle name="_FINALIFRS-LOC Accounts -(30June09)" xfId="11"/>
    <cellStyle name="_FINALIFRS-LOC Accounts -(30June09) 2" xfId="406"/>
    <cellStyle name="_FINALIFRS-LOC Accounts -(30June09) 3" xfId="407"/>
    <cellStyle name="_FINALIFRS-LOC Accounts -(30June09) 4" xfId="408"/>
    <cellStyle name="_FINALIFRS-LOC Accounts -(30June09)_5.2" xfId="409"/>
    <cellStyle name="_FINALIFRS-LOC Accounts -(30June09)_Accounts 2009-NIUT NON LOC-after RAJ final-signed" xfId="12"/>
    <cellStyle name="_FINALIFRS-LOC Accounts -(30June09)_Accounts 2009-NIUT NON LOC-after RAJ final-signed 2" xfId="410"/>
    <cellStyle name="_FINALIFRS-LOC Accounts -(30June09)_Accounts 2009-NIUT NON LOC-after RAJ final-signed 3" xfId="411"/>
    <cellStyle name="_FINALIFRS-LOC Accounts -(30June09)_Accounts 2009-NIUT NON LOC-after RAJ final-signed 4" xfId="412"/>
    <cellStyle name="_FINALIFRS-LOC Accounts -(30June09)_Accounts 2009-NIUT NON LOC-after RAJ final-signed_Accounts(31Dec2010)-SEF(FINAL)" xfId="13"/>
    <cellStyle name="_FINALIFRS-LOC Accounts -(30June09)_Accounts 2009-NIUT NON LOC-after RAJ final-signed_Accounts(31Dec2010)-SEF(for client)" xfId="14"/>
    <cellStyle name="_FINALIFRS-LOC Accounts -(30June09)_Accounts 2009-NIUT NON LOC-after RAJ final-signed_Accounts(31Dec2010)-SEF(formated-final" xfId="15"/>
    <cellStyle name="_FINALIFRS-LOC Accounts -(30June09)_Accounts 2009-NIUT NON LOC-after RAJ final-signed_Cash Flow " xfId="413"/>
    <cellStyle name="_FINALIFRS-LOC Accounts -(30June09)_Accounts 2009-NIUT NON LOC-after RAJ final-signed_Cash flow working" xfId="414"/>
    <cellStyle name="_FINALIFRS-LOC Accounts -(30June09)_Accounts 2009-NIUT NON LOC-after RAJ final-signed_Copy of NIT (SEF) FST - FINAL after final changes " xfId="415"/>
    <cellStyle name="_FINALIFRS-LOC Accounts -(30June09)_Accounts 2009-NIUT NON LOC-after RAJ final-signed_Distribution " xfId="416"/>
    <cellStyle name="_FINALIFRS-LOC Accounts -(30June09)_Accounts 2009-NIUT NON LOC-after RAJ final-signed_FST - NIT SEF 2011" xfId="417"/>
    <cellStyle name="_FINALIFRS-LOC Accounts -(30June09)_Accounts 2009-NIUT NON LOC-after RAJ final-signed_Income Statement" xfId="418"/>
    <cellStyle name="_FINALIFRS-LOC Accounts -(30June09)_Accounts 2009-NIUT NON LOC-after RAJ final-signed_Sheet2" xfId="419"/>
    <cellStyle name="_FINALIFRS-LOC Accounts -(30June09)_Accounts 2009-NIUT NON LOC-after RAJ final-signed_Statement of Financial Position" xfId="420"/>
    <cellStyle name="_FINALIFRS-LOC Accounts -(30June09)_Cash Flow " xfId="421"/>
    <cellStyle name="_FINALIFRS-LOC Accounts -(30June09)_Cash flow working" xfId="422"/>
    <cellStyle name="_FINALIFRS-LOC Accounts -(30June09)_Distribution " xfId="423"/>
    <cellStyle name="_FINALIFRS-LOC Accounts -(30June09)_Final Diclosure 10" xfId="794"/>
    <cellStyle name="_FINALIFRS-LOC Accounts -(30June09)_Final RAJ-reviewed Feb 5" xfId="795"/>
    <cellStyle name="_FINALIFRS-LOC Accounts -(30June09)_Income Statement" xfId="424"/>
    <cellStyle name="_FINALIFRS-LOC Accounts -(30June09)_Notes 1-3" xfId="425"/>
    <cellStyle name="_FINALIFRS-LOC Accounts -(30June09)_Other compehensive" xfId="796"/>
    <cellStyle name="_FINALIFRS-LOC Accounts -(30June09)_Sheet2" xfId="16"/>
    <cellStyle name="_FINALIFRS-LOC Accounts -(30June09)_Sheet2 2" xfId="426"/>
    <cellStyle name="_FINALIFRS-LOC Accounts -(30June09)_Sheet2 3" xfId="427"/>
    <cellStyle name="_FINALIFRS-LOC Accounts -(30June09)_Sheet2 4" xfId="428"/>
    <cellStyle name="_FINALIFRS-LOC Accounts -(30June09)_Sheet2_1" xfId="429"/>
    <cellStyle name="_FINALIFRS-LOC Accounts -(30June09)_Sheet2_5.2" xfId="430"/>
    <cellStyle name="_FINALIFRS-LOC Accounts -(30June09)_Sheet2_Cash Flow " xfId="431"/>
    <cellStyle name="_FINALIFRS-LOC Accounts -(30June09)_Sheet2_Cash flow working" xfId="432"/>
    <cellStyle name="_FINALIFRS-LOC Accounts -(30June09)_Sheet2_Distribution " xfId="433"/>
    <cellStyle name="_FINALIFRS-LOC Accounts -(30June09)_Sheet2_Final disclosure final" xfId="797"/>
    <cellStyle name="_FINALIFRS-LOC Accounts -(30June09)_Sheet2_Income Statement" xfId="434"/>
    <cellStyle name="_FINALIFRS-LOC Accounts -(30June09)_Sheet2_Notes 1-3" xfId="435"/>
    <cellStyle name="_FINALIFRS-LOC Accounts -(30June09)_Sheet2_Sheet2" xfId="436"/>
    <cellStyle name="_FINALIFRS-LOC Accounts -(30June09)_Sheet2_Statement of Financial Position" xfId="437"/>
    <cellStyle name="_FINALIFRS-LOC Accounts -(30June09)_Sheet2_UHF" xfId="438"/>
    <cellStyle name="_FINALIFRS-LOC Accounts -(30June09)_Statement of Financial Position" xfId="439"/>
    <cellStyle name="_FINALIFRS-LOC Accounts -(30June09)_UHF" xfId="440"/>
    <cellStyle name="_FINALIFRS-LOC Accounts -(30June09)_Xl0000000" xfId="17"/>
    <cellStyle name="_FINALIFRS-LOC Accounts -(30June09)_Xl0000000 2" xfId="18"/>
    <cellStyle name="_FINALIFRS-LOC Accounts -(30June09)_Xl0000000 3" xfId="441"/>
    <cellStyle name="_FINALIFRS-LOC Accounts -(30June09)_Xl0000000 4" xfId="442"/>
    <cellStyle name="_FINALIFRS-LOC Accounts -(30June09)_Xl0000000_31 Dec Accounts 2009-NIUT" xfId="19"/>
    <cellStyle name="_FINALIFRS-LOC Accounts -(30June09)_Xl0000000_31 Dec Accounts 2009-NIUT after element" xfId="20"/>
    <cellStyle name="_FINALIFRS-LOC Accounts -(30June09)_Xl0000000_31 Dec Accounts 2009-NIUT b" xfId="21"/>
    <cellStyle name="_FINALIFRS-LOC Accounts -(30June09)_Xl0000000_5.2" xfId="443"/>
    <cellStyle name="_FINALIFRS-LOC Accounts -(30June09)_Xl0000000_Accounts 2009-NIUT NON LOC-after RAJ final-signed" xfId="444"/>
    <cellStyle name="_FINALIFRS-LOC Accounts -(30June09)_Xl0000000_After annexure changes NB final" xfId="22"/>
    <cellStyle name="_FINALIFRS-LOC Accounts -(30June09)_Xl0000000_Cash Flow " xfId="445"/>
    <cellStyle name="_FINALIFRS-LOC Accounts -(30June09)_Xl0000000_Cash flow working" xfId="446"/>
    <cellStyle name="_FINALIFRS-LOC Accounts -(30June09)_Xl0000000_Distribution " xfId="447"/>
    <cellStyle name="_FINALIFRS-LOC Accounts -(30June09)_Xl0000000_Final disclosure final" xfId="23"/>
    <cellStyle name="_FINALIFRS-LOC Accounts -(30June09)_Xl0000000_Final RAJ-reviewed Feb 5" xfId="24"/>
    <cellStyle name="_FINALIFRS-LOC Accounts -(30June09)_Xl0000000_Income Statement" xfId="448"/>
    <cellStyle name="_FINALIFRS-LOC Accounts -(30June09)_Xl0000000_Notes 1-3" xfId="449"/>
    <cellStyle name="_FINALIFRS-LOC Accounts -(30June09)_Xl0000000_Sheet2" xfId="450"/>
    <cellStyle name="_FINALIFRS-LOC Accounts -(30June09)_Xl0000000_Statement of Financial Position" xfId="451"/>
    <cellStyle name="_FINALIFRS-LOC Accounts -(30June09)_Xl0000000_UHF" xfId="452"/>
    <cellStyle name="_SAP Break ups for Dec 2008" xfId="25"/>
    <cellStyle name="_Technology MI September v2NB" xfId="26"/>
    <cellStyle name="_Technology MI September v2NB 2" xfId="453"/>
    <cellStyle name="_Technology MI September v2NB 3" xfId="454"/>
    <cellStyle name="_Technology MI September v2NB 4" xfId="455"/>
    <cellStyle name="_Technology MI September v2NB_5.2" xfId="456"/>
    <cellStyle name="_Technology MI September v2NB_Cash Flow " xfId="457"/>
    <cellStyle name="_Technology MI September v2NB_Cash flow working" xfId="458"/>
    <cellStyle name="_Technology MI September v2NB_disclosure investment emof" xfId="27"/>
    <cellStyle name="_Technology MI September v2NB_Distribution " xfId="459"/>
    <cellStyle name="_Technology MI September v2NB_Final disclosure final" xfId="798"/>
    <cellStyle name="_Technology MI September v2NB_Final_Accounts_2009" xfId="28"/>
    <cellStyle name="_Technology MI September v2NB_Income Statement" xfId="460"/>
    <cellStyle name="_Technology MI September v2NB_Income-Statement" xfId="29"/>
    <cellStyle name="_Technology MI September v2NB_Movement in UHF" xfId="30"/>
    <cellStyle name="_Technology MI September v2NB_NIT-EMOF SEP Accounts 2009" xfId="461"/>
    <cellStyle name="_Technology MI September v2NB_Note 11-20" xfId="31"/>
    <cellStyle name="_Technology MI September v2NB_Notes 1-3" xfId="462"/>
    <cellStyle name="_Technology MI September v2NB_Sales &amp; Redemption summary" xfId="32"/>
    <cellStyle name="_Technology MI September v2NB_Sheet2" xfId="463"/>
    <cellStyle name="_Technology MI September v2NB_Statement" xfId="33"/>
    <cellStyle name="_Technology MI September v2NB_Statement of Financial Position" xfId="464"/>
    <cellStyle name="_Technology MI September v2NB_UHF" xfId="465"/>
    <cellStyle name="£ BP" xfId="36"/>
    <cellStyle name="¥ JY" xfId="37"/>
    <cellStyle name="=C:\WINNT\SYSTEM32\COMMAND.COM" xfId="34"/>
    <cellStyle name="=C:\WINNT\SYSTEM32\COMMAND.COM 2" xfId="35"/>
    <cellStyle name="=C:\WINNT\SYSTEM32\COMMAND.COM 2 2" xfId="809"/>
    <cellStyle name="=C:\WINNT\SYSTEM32\COMMAND.COM 3" xfId="466"/>
    <cellStyle name="=C:\WINNT\SYSTEM32\COMMAND.COM 4" xfId="467"/>
    <cellStyle name="=C:\WINNT\SYSTEM32\COMMAND.COM_5.2" xfId="468"/>
    <cellStyle name="20% - Accent1" xfId="38" builtinId="30" customBuiltin="1"/>
    <cellStyle name="20% - Accent1 2" xfId="39"/>
    <cellStyle name="20% - Accent1 2 2" xfId="469"/>
    <cellStyle name="20% - Accent1 2 3" xfId="470"/>
    <cellStyle name="20% - Accent1 2 4" xfId="471"/>
    <cellStyle name="20% - Accent1 2_5.2" xfId="472"/>
    <cellStyle name="20% - Accent1 3" xfId="40"/>
    <cellStyle name="20% - Accent1 3 2" xfId="473"/>
    <cellStyle name="20% - Accent1 3 3" xfId="474"/>
    <cellStyle name="20% - Accent1 3 4" xfId="475"/>
    <cellStyle name="20% - Accent1 3_5.2" xfId="476"/>
    <cellStyle name="20% - Accent1 4" xfId="41"/>
    <cellStyle name="20% - Accent1 5" xfId="477"/>
    <cellStyle name="20% - Accent1 6" xfId="478"/>
    <cellStyle name="20% - Accent2" xfId="42" builtinId="34" customBuiltin="1"/>
    <cellStyle name="20% - Accent2 2" xfId="43"/>
    <cellStyle name="20% - Accent2 2 2" xfId="479"/>
    <cellStyle name="20% - Accent2 2 3" xfId="480"/>
    <cellStyle name="20% - Accent2 2 4" xfId="481"/>
    <cellStyle name="20% - Accent2 2_5.2" xfId="482"/>
    <cellStyle name="20% - Accent2 3" xfId="44"/>
    <cellStyle name="20% - Accent2 3 2" xfId="483"/>
    <cellStyle name="20% - Accent2 3 3" xfId="484"/>
    <cellStyle name="20% - Accent2 3 4" xfId="485"/>
    <cellStyle name="20% - Accent2 3_5.2" xfId="486"/>
    <cellStyle name="20% - Accent2 4" xfId="45"/>
    <cellStyle name="20% - Accent2 5" xfId="487"/>
    <cellStyle name="20% - Accent2 6" xfId="488"/>
    <cellStyle name="20% - Accent3" xfId="46" builtinId="38" customBuiltin="1"/>
    <cellStyle name="20% - Accent3 2" xfId="47"/>
    <cellStyle name="20% - Accent3 2 2" xfId="489"/>
    <cellStyle name="20% - Accent3 2 3" xfId="490"/>
    <cellStyle name="20% - Accent3 2 4" xfId="491"/>
    <cellStyle name="20% - Accent3 2_5.2" xfId="492"/>
    <cellStyle name="20% - Accent3 3" xfId="48"/>
    <cellStyle name="20% - Accent3 3 2" xfId="493"/>
    <cellStyle name="20% - Accent3 3 3" xfId="494"/>
    <cellStyle name="20% - Accent3 3 4" xfId="495"/>
    <cellStyle name="20% - Accent3 3_5.2" xfId="496"/>
    <cellStyle name="20% - Accent3 4" xfId="49"/>
    <cellStyle name="20% - Accent3 5" xfId="497"/>
    <cellStyle name="20% - Accent3 6" xfId="498"/>
    <cellStyle name="20% - Accent4" xfId="50" builtinId="42" customBuiltin="1"/>
    <cellStyle name="20% - Accent4 2" xfId="51"/>
    <cellStyle name="20% - Accent4 2 2" xfId="499"/>
    <cellStyle name="20% - Accent4 2 3" xfId="500"/>
    <cellStyle name="20% - Accent4 2 4" xfId="501"/>
    <cellStyle name="20% - Accent4 2_5.2" xfId="502"/>
    <cellStyle name="20% - Accent4 3" xfId="52"/>
    <cellStyle name="20% - Accent4 3 2" xfId="503"/>
    <cellStyle name="20% - Accent4 3 3" xfId="504"/>
    <cellStyle name="20% - Accent4 3 4" xfId="505"/>
    <cellStyle name="20% - Accent4 3_5.2" xfId="506"/>
    <cellStyle name="20% - Accent4 4" xfId="53"/>
    <cellStyle name="20% - Accent4 5" xfId="507"/>
    <cellStyle name="20% - Accent4 6" xfId="508"/>
    <cellStyle name="20% - Accent5" xfId="54" builtinId="46" customBuiltin="1"/>
    <cellStyle name="20% - Accent5 2" xfId="55"/>
    <cellStyle name="20% - Accent5 2 2" xfId="509"/>
    <cellStyle name="20% - Accent5 2 3" xfId="510"/>
    <cellStyle name="20% - Accent5 2 4" xfId="511"/>
    <cellStyle name="20% - Accent5 2_5.2" xfId="512"/>
    <cellStyle name="20% - Accent5 3" xfId="56"/>
    <cellStyle name="20% - Accent5 3 2" xfId="513"/>
    <cellStyle name="20% - Accent5 3 3" xfId="514"/>
    <cellStyle name="20% - Accent5 3 4" xfId="515"/>
    <cellStyle name="20% - Accent5 3_5.2" xfId="516"/>
    <cellStyle name="20% - Accent5 4" xfId="57"/>
    <cellStyle name="20% - Accent5 5" xfId="517"/>
    <cellStyle name="20% - Accent5 6" xfId="518"/>
    <cellStyle name="20% - Accent6" xfId="58" builtinId="50" customBuiltin="1"/>
    <cellStyle name="20% - Accent6 2" xfId="59"/>
    <cellStyle name="20% - Accent6 2 2" xfId="519"/>
    <cellStyle name="20% - Accent6 2 3" xfId="520"/>
    <cellStyle name="20% - Accent6 2 4" xfId="521"/>
    <cellStyle name="20% - Accent6 2_5.2" xfId="522"/>
    <cellStyle name="20% - Accent6 3" xfId="60"/>
    <cellStyle name="20% - Accent6 3 2" xfId="523"/>
    <cellStyle name="20% - Accent6 3 3" xfId="524"/>
    <cellStyle name="20% - Accent6 3 4" xfId="525"/>
    <cellStyle name="20% - Accent6 3_5.2" xfId="526"/>
    <cellStyle name="20% - Accent6 4" xfId="61"/>
    <cellStyle name="20% - Accent6 5" xfId="527"/>
    <cellStyle name="20% - Accent6 6" xfId="528"/>
    <cellStyle name="40% - Accent1" xfId="62" builtinId="31" customBuiltin="1"/>
    <cellStyle name="40% - Accent1 2" xfId="63"/>
    <cellStyle name="40% - Accent1 2 2" xfId="529"/>
    <cellStyle name="40% - Accent1 2 3" xfId="530"/>
    <cellStyle name="40% - Accent1 2 4" xfId="531"/>
    <cellStyle name="40% - Accent1 2_5.2" xfId="532"/>
    <cellStyle name="40% - Accent1 3" xfId="64"/>
    <cellStyle name="40% - Accent1 3 2" xfId="533"/>
    <cellStyle name="40% - Accent1 3 3" xfId="534"/>
    <cellStyle name="40% - Accent1 3 4" xfId="535"/>
    <cellStyle name="40% - Accent1 3_5.2" xfId="536"/>
    <cellStyle name="40% - Accent1 4" xfId="65"/>
    <cellStyle name="40% - Accent1 5" xfId="537"/>
    <cellStyle name="40% - Accent1 6" xfId="538"/>
    <cellStyle name="40% - Accent2" xfId="66" builtinId="35" customBuiltin="1"/>
    <cellStyle name="40% - Accent2 2" xfId="67"/>
    <cellStyle name="40% - Accent2 2 2" xfId="539"/>
    <cellStyle name="40% - Accent2 2 3" xfId="540"/>
    <cellStyle name="40% - Accent2 2 4" xfId="541"/>
    <cellStyle name="40% - Accent2 2_5.2" xfId="542"/>
    <cellStyle name="40% - Accent2 3" xfId="68"/>
    <cellStyle name="40% - Accent2 3 2" xfId="543"/>
    <cellStyle name="40% - Accent2 3 3" xfId="544"/>
    <cellStyle name="40% - Accent2 3 4" xfId="545"/>
    <cellStyle name="40% - Accent2 3_5.2" xfId="546"/>
    <cellStyle name="40% - Accent2 4" xfId="69"/>
    <cellStyle name="40% - Accent2 5" xfId="547"/>
    <cellStyle name="40% - Accent2 6" xfId="548"/>
    <cellStyle name="40% - Accent3" xfId="70" builtinId="39" customBuiltin="1"/>
    <cellStyle name="40% - Accent3 2" xfId="71"/>
    <cellStyle name="40% - Accent3 2 2" xfId="549"/>
    <cellStyle name="40% - Accent3 2 3" xfId="550"/>
    <cellStyle name="40% - Accent3 2 4" xfId="551"/>
    <cellStyle name="40% - Accent3 2_5.2" xfId="552"/>
    <cellStyle name="40% - Accent3 3" xfId="72"/>
    <cellStyle name="40% - Accent3 3 2" xfId="553"/>
    <cellStyle name="40% - Accent3 3 3" xfId="554"/>
    <cellStyle name="40% - Accent3 3 4" xfId="555"/>
    <cellStyle name="40% - Accent3 3_5.2" xfId="556"/>
    <cellStyle name="40% - Accent3 4" xfId="73"/>
    <cellStyle name="40% - Accent3 5" xfId="557"/>
    <cellStyle name="40% - Accent3 6" xfId="558"/>
    <cellStyle name="40% - Accent4" xfId="74" builtinId="43" customBuiltin="1"/>
    <cellStyle name="40% - Accent4 2" xfId="75"/>
    <cellStyle name="40% - Accent4 2 2" xfId="559"/>
    <cellStyle name="40% - Accent4 2 3" xfId="560"/>
    <cellStyle name="40% - Accent4 2 4" xfId="561"/>
    <cellStyle name="40% - Accent4 2_5.2" xfId="562"/>
    <cellStyle name="40% - Accent4 3" xfId="76"/>
    <cellStyle name="40% - Accent4 3 2" xfId="563"/>
    <cellStyle name="40% - Accent4 3 3" xfId="564"/>
    <cellStyle name="40% - Accent4 3 4" xfId="565"/>
    <cellStyle name="40% - Accent4 3_5.2" xfId="566"/>
    <cellStyle name="40% - Accent4 4" xfId="77"/>
    <cellStyle name="40% - Accent4 5" xfId="567"/>
    <cellStyle name="40% - Accent4 6" xfId="568"/>
    <cellStyle name="40% - Accent5" xfId="78" builtinId="47" customBuiltin="1"/>
    <cellStyle name="40% - Accent5 2" xfId="79"/>
    <cellStyle name="40% - Accent5 2 2" xfId="569"/>
    <cellStyle name="40% - Accent5 2 3" xfId="570"/>
    <cellStyle name="40% - Accent5 2 4" xfId="571"/>
    <cellStyle name="40% - Accent5 2_5.2" xfId="572"/>
    <cellStyle name="40% - Accent5 3" xfId="80"/>
    <cellStyle name="40% - Accent5 3 2" xfId="573"/>
    <cellStyle name="40% - Accent5 3 3" xfId="574"/>
    <cellStyle name="40% - Accent5 3 4" xfId="575"/>
    <cellStyle name="40% - Accent5 3_5.2" xfId="576"/>
    <cellStyle name="40% - Accent5 4" xfId="81"/>
    <cellStyle name="40% - Accent5 5" xfId="577"/>
    <cellStyle name="40% - Accent5 6" xfId="578"/>
    <cellStyle name="40% - Accent6" xfId="82" builtinId="51" customBuiltin="1"/>
    <cellStyle name="40% - Accent6 2" xfId="83"/>
    <cellStyle name="40% - Accent6 2 2" xfId="579"/>
    <cellStyle name="40% - Accent6 2 3" xfId="580"/>
    <cellStyle name="40% - Accent6 2 4" xfId="581"/>
    <cellStyle name="40% - Accent6 2_5.2" xfId="582"/>
    <cellStyle name="40% - Accent6 3" xfId="84"/>
    <cellStyle name="40% - Accent6 3 2" xfId="583"/>
    <cellStyle name="40% - Accent6 3 3" xfId="584"/>
    <cellStyle name="40% - Accent6 3 4" xfId="585"/>
    <cellStyle name="40% - Accent6 3_5.2" xfId="586"/>
    <cellStyle name="40% - Accent6 4" xfId="85"/>
    <cellStyle name="40% - Accent6 5" xfId="587"/>
    <cellStyle name="40% - Accent6 6" xfId="588"/>
    <cellStyle name="60% - Accent1" xfId="86" builtinId="32" customBuiltin="1"/>
    <cellStyle name="60% - Accent1 2" xfId="87"/>
    <cellStyle name="60% - Accent1 3" xfId="88"/>
    <cellStyle name="60% - Accent1 4" xfId="89"/>
    <cellStyle name="60% - Accent2" xfId="90" builtinId="36" customBuiltin="1"/>
    <cellStyle name="60% - Accent2 2" xfId="91"/>
    <cellStyle name="60% - Accent2 3" xfId="92"/>
    <cellStyle name="60% - Accent2 4" xfId="93"/>
    <cellStyle name="60% - Accent3" xfId="94" builtinId="40" customBuiltin="1"/>
    <cellStyle name="60% - Accent3 2" xfId="95"/>
    <cellStyle name="60% - Accent3 3" xfId="96"/>
    <cellStyle name="60% - Accent3 4" xfId="97"/>
    <cellStyle name="60% - Accent4" xfId="98" builtinId="44" customBuiltin="1"/>
    <cellStyle name="60% - Accent4 2" xfId="99"/>
    <cellStyle name="60% - Accent4 3" xfId="100"/>
    <cellStyle name="60% - Accent4 4" xfId="101"/>
    <cellStyle name="60% - Accent5" xfId="102" builtinId="48" customBuiltin="1"/>
    <cellStyle name="60% - Accent5 2" xfId="103"/>
    <cellStyle name="60% - Accent5 3" xfId="104"/>
    <cellStyle name="60% - Accent5 4" xfId="105"/>
    <cellStyle name="60% - Accent6" xfId="106" builtinId="52" customBuiltin="1"/>
    <cellStyle name="60% - Accent6 2" xfId="107"/>
    <cellStyle name="60% - Accent6 3" xfId="108"/>
    <cellStyle name="60% - Accent6 4" xfId="109"/>
    <cellStyle name="9999/99/99" xfId="110"/>
    <cellStyle name="Accent1" xfId="111" builtinId="29" customBuiltin="1"/>
    <cellStyle name="Accent1 2" xfId="112"/>
    <cellStyle name="Accent1 3" xfId="113"/>
    <cellStyle name="Accent1 4" xfId="114"/>
    <cellStyle name="Accent2" xfId="115" builtinId="33" customBuiltin="1"/>
    <cellStyle name="Accent2 2" xfId="116"/>
    <cellStyle name="Accent2 3" xfId="117"/>
    <cellStyle name="Accent2 4" xfId="118"/>
    <cellStyle name="Accent3" xfId="119" builtinId="37" customBuiltin="1"/>
    <cellStyle name="Accent3 2" xfId="120"/>
    <cellStyle name="Accent3 3" xfId="121"/>
    <cellStyle name="Accent3 4" xfId="122"/>
    <cellStyle name="Accent4" xfId="123" builtinId="41" customBuiltin="1"/>
    <cellStyle name="Accent4 2" xfId="124"/>
    <cellStyle name="Accent4 3" xfId="125"/>
    <cellStyle name="Accent4 4" xfId="126"/>
    <cellStyle name="Accent5" xfId="127" builtinId="45" customBuiltin="1"/>
    <cellStyle name="Accent5 2" xfId="128"/>
    <cellStyle name="Accent5 3" xfId="129"/>
    <cellStyle name="Accent5 4" xfId="130"/>
    <cellStyle name="Accent6" xfId="131" builtinId="49" customBuiltin="1"/>
    <cellStyle name="Accent6 2" xfId="132"/>
    <cellStyle name="Accent6 3" xfId="133"/>
    <cellStyle name="Accent6 4" xfId="134"/>
    <cellStyle name="Auto_OpenAuto_CloseExtractD" xfId="135"/>
    <cellStyle name="Bad" xfId="136" builtinId="27" customBuiltin="1"/>
    <cellStyle name="Bad 2" xfId="137"/>
    <cellStyle name="Bad 3" xfId="138"/>
    <cellStyle name="Bad 4" xfId="139"/>
    <cellStyle name="Body" xfId="140"/>
    <cellStyle name="Bold/Border" xfId="141"/>
    <cellStyle name="Brand Align Left Text" xfId="142"/>
    <cellStyle name="Brand Default" xfId="143"/>
    <cellStyle name="Brand Percent" xfId="144"/>
    <cellStyle name="Brand Source" xfId="145"/>
    <cellStyle name="Brand Subtitle with Underline" xfId="146"/>
    <cellStyle name="Brand Subtitle without Underline" xfId="147"/>
    <cellStyle name="Brand Title" xfId="148"/>
    <cellStyle name="Bullet" xfId="149"/>
    <cellStyle name="Calc Currency (0)" xfId="150"/>
    <cellStyle name="Calc Currency (0) 2" xfId="151"/>
    <cellStyle name="Calc Currency (0) 3" xfId="589"/>
    <cellStyle name="Calc Currency (0) 4" xfId="590"/>
    <cellStyle name="Calc Currency (0)_5.2" xfId="591"/>
    <cellStyle name="Calculation" xfId="152" builtinId="22" customBuiltin="1"/>
    <cellStyle name="Calculation 2" xfId="153"/>
    <cellStyle name="Calculation 3" xfId="154"/>
    <cellStyle name="Calculation 4" xfId="155"/>
    <cellStyle name="Check Cell" xfId="156" builtinId="23" customBuiltin="1"/>
    <cellStyle name="Check Cell 2" xfId="157"/>
    <cellStyle name="Check Cell 3" xfId="158"/>
    <cellStyle name="Check Cell 4" xfId="159"/>
    <cellStyle name="Comma" xfId="160" builtinId="3"/>
    <cellStyle name="Comma  - Style1" xfId="161"/>
    <cellStyle name="Comma  - Style2" xfId="162"/>
    <cellStyle name="Comma  - Style3" xfId="163"/>
    <cellStyle name="Comma  - Style4" xfId="164"/>
    <cellStyle name="Comma  - Style5" xfId="165"/>
    <cellStyle name="Comma  - Style6" xfId="166"/>
    <cellStyle name="Comma  - Style7" xfId="167"/>
    <cellStyle name="Comma  - Style8" xfId="168"/>
    <cellStyle name="Comma 10" xfId="169"/>
    <cellStyle name="Comma 10 2" xfId="592"/>
    <cellStyle name="Comma 10 3" xfId="593"/>
    <cellStyle name="Comma 10 4" xfId="594"/>
    <cellStyle name="Comma 11" xfId="170"/>
    <cellStyle name="Comma 11 2" xfId="595"/>
    <cellStyle name="Comma 11 3" xfId="596"/>
    <cellStyle name="Comma 11 4" xfId="597"/>
    <cellStyle name="Comma 12" xfId="171"/>
    <cellStyle name="Comma 13" xfId="172"/>
    <cellStyle name="Comma 13 2" xfId="173"/>
    <cellStyle name="Comma 14" xfId="174"/>
    <cellStyle name="Comma 14 2" xfId="772"/>
    <cellStyle name="Comma 14 2 2" xfId="799"/>
    <cellStyle name="Comma 14 2 3" xfId="817"/>
    <cellStyle name="Comma 14 3" xfId="784"/>
    <cellStyle name="Comma 14 4" xfId="810"/>
    <cellStyle name="Comma 15" xfId="175"/>
    <cellStyle name="Comma 16" xfId="598"/>
    <cellStyle name="Comma 16 2" xfId="779"/>
    <cellStyle name="Comma 16 2 2" xfId="800"/>
    <cellStyle name="Comma 16 2 3" xfId="821"/>
    <cellStyle name="Comma 16 3" xfId="789"/>
    <cellStyle name="Comma 16 4" xfId="816"/>
    <cellStyle name="Comma 17" xfId="781"/>
    <cellStyle name="Comma 17 2" xfId="793"/>
    <cellStyle name="Comma 17 3" xfId="823"/>
    <cellStyle name="Comma 18" xfId="808"/>
    <cellStyle name="Comma 18 2" xfId="825"/>
    <cellStyle name="Comma 19" xfId="791"/>
    <cellStyle name="Comma 19 2" xfId="830"/>
    <cellStyle name="Comma 19 3" xfId="827"/>
    <cellStyle name="Comma 2" xfId="176"/>
    <cellStyle name="Comma 2 10" xfId="599"/>
    <cellStyle name="Comma 2 11" xfId="600"/>
    <cellStyle name="Comma 2 2" xfId="177"/>
    <cellStyle name="Comma 2 2 2" xfId="178"/>
    <cellStyle name="Comma 2 2 2 2" xfId="601"/>
    <cellStyle name="Comma 2 2 2 3" xfId="602"/>
    <cellStyle name="Comma 2 2 2 4" xfId="603"/>
    <cellStyle name="Comma 2 2 3" xfId="179"/>
    <cellStyle name="Comma 2 2 3 2" xfId="604"/>
    <cellStyle name="Comma 2 2 3 3" xfId="605"/>
    <cellStyle name="Comma 2 2 3 4" xfId="606"/>
    <cellStyle name="Comma 2 2 4" xfId="607"/>
    <cellStyle name="Comma 2 2 5" xfId="608"/>
    <cellStyle name="Comma 2 2 6" xfId="609"/>
    <cellStyle name="Comma 2 3" xfId="180"/>
    <cellStyle name="Comma 2 3 2" xfId="610"/>
    <cellStyle name="Comma 2 3 3" xfId="611"/>
    <cellStyle name="Comma 2 3 4" xfId="612"/>
    <cellStyle name="Comma 2 4" xfId="181"/>
    <cellStyle name="Comma 2 4 2" xfId="613"/>
    <cellStyle name="Comma 2 4 3" xfId="614"/>
    <cellStyle name="Comma 2 4 4" xfId="615"/>
    <cellStyle name="Comma 2 5" xfId="182"/>
    <cellStyle name="Comma 2 5 2" xfId="616"/>
    <cellStyle name="Comma 2 5 3" xfId="617"/>
    <cellStyle name="Comma 2 5 4" xfId="618"/>
    <cellStyle name="Comma 2 6" xfId="183"/>
    <cellStyle name="Comma 2 6 2" xfId="619"/>
    <cellStyle name="Comma 2 6 3" xfId="620"/>
    <cellStyle name="Comma 2 6 4" xfId="621"/>
    <cellStyle name="Comma 2 7" xfId="184"/>
    <cellStyle name="Comma 2 7 2" xfId="622"/>
    <cellStyle name="Comma 2 7 3" xfId="623"/>
    <cellStyle name="Comma 2 7 4" xfId="624"/>
    <cellStyle name="Comma 2 8" xfId="185"/>
    <cellStyle name="Comma 2 8 2" xfId="625"/>
    <cellStyle name="Comma 2 8 3" xfId="626"/>
    <cellStyle name="Comma 2 8 4" xfId="627"/>
    <cellStyle name="Comma 2 9" xfId="628"/>
    <cellStyle name="Comma 2_Xl0000002" xfId="186"/>
    <cellStyle name="Comma 22" xfId="187"/>
    <cellStyle name="Comma 3" xfId="188"/>
    <cellStyle name="Comma 3 2" xfId="189"/>
    <cellStyle name="Comma 3 2 2" xfId="190"/>
    <cellStyle name="Comma 3 3" xfId="191"/>
    <cellStyle name="Comma 3 4" xfId="192"/>
    <cellStyle name="Comma 3 5" xfId="629"/>
    <cellStyle name="Comma 4" xfId="193"/>
    <cellStyle name="Comma 4 2" xfId="194"/>
    <cellStyle name="Comma 5" xfId="195"/>
    <cellStyle name="Comma 5 2" xfId="196"/>
    <cellStyle name="Comma 5 3" xfId="630"/>
    <cellStyle name="Comma 5 4" xfId="631"/>
    <cellStyle name="Comma 6" xfId="197"/>
    <cellStyle name="Comma 7" xfId="198"/>
    <cellStyle name="Comma 8" xfId="199"/>
    <cellStyle name="Comma 9" xfId="200"/>
    <cellStyle name="Comma 9 2" xfId="632"/>
    <cellStyle name="Comma 9 3" xfId="633"/>
    <cellStyle name="Comma 9 4" xfId="634"/>
    <cellStyle name="Comma_Final accou by farrukh PCMF" xfId="201"/>
    <cellStyle name="CompanyName" xfId="202"/>
    <cellStyle name="Component" xfId="203"/>
    <cellStyle name="Copied" xfId="204"/>
    <cellStyle name="Currency 2" xfId="205"/>
    <cellStyle name="Currency 2 2" xfId="635"/>
    <cellStyle name="Currency 2 3" xfId="636"/>
    <cellStyle name="Currency 2 4" xfId="637"/>
    <cellStyle name="Dash" xfId="206"/>
    <cellStyle name="Description" xfId="207"/>
    <cellStyle name="Dollar" xfId="208"/>
    <cellStyle name="Entered" xfId="209"/>
    <cellStyle name="Euro" xfId="210"/>
    <cellStyle name="Euro 2" xfId="638"/>
    <cellStyle name="Euro 3" xfId="639"/>
    <cellStyle name="Euro 4" xfId="640"/>
    <cellStyle name="Explanatory Text" xfId="211" builtinId="53" customBuiltin="1"/>
    <cellStyle name="Explanatory Text 2" xfId="212"/>
    <cellStyle name="Explanatory Text 3" xfId="213"/>
    <cellStyle name="Explanatory Text 4" xfId="214"/>
    <cellStyle name="Feature" xfId="215"/>
    <cellStyle name="Fixed" xfId="216"/>
    <cellStyle name="Fixed 2" xfId="641"/>
    <cellStyle name="Fixed 3" xfId="642"/>
    <cellStyle name="Fixed 4" xfId="643"/>
    <cellStyle name="Fixed_5.2" xfId="644"/>
    <cellStyle name="Good" xfId="217" builtinId="26" customBuiltin="1"/>
    <cellStyle name="Good 2" xfId="218"/>
    <cellStyle name="Good 3" xfId="219"/>
    <cellStyle name="Good 4" xfId="220"/>
    <cellStyle name="Grey" xfId="221"/>
    <cellStyle name="Header1" xfId="222"/>
    <cellStyle name="Header2" xfId="223"/>
    <cellStyle name="Heading 1" xfId="224" builtinId="16" customBuiltin="1"/>
    <cellStyle name="Heading 1 2" xfId="225"/>
    <cellStyle name="Heading 1 3" xfId="226"/>
    <cellStyle name="Heading 1 4" xfId="227"/>
    <cellStyle name="Heading 2" xfId="228" builtinId="17" customBuiltin="1"/>
    <cellStyle name="Heading 2 2" xfId="229"/>
    <cellStyle name="Heading 2 3" xfId="230"/>
    <cellStyle name="Heading 2 4" xfId="231"/>
    <cellStyle name="Heading 3" xfId="232" builtinId="18" customBuiltin="1"/>
    <cellStyle name="Heading 3 2" xfId="233"/>
    <cellStyle name="Heading 3 3" xfId="234"/>
    <cellStyle name="Heading 3 4" xfId="235"/>
    <cellStyle name="Heading 4" xfId="236" builtinId="19" customBuiltin="1"/>
    <cellStyle name="Heading 4 2" xfId="237"/>
    <cellStyle name="Heading 4 3" xfId="238"/>
    <cellStyle name="Heading 4 4" xfId="239"/>
    <cellStyle name="Input" xfId="240" builtinId="20" customBuiltin="1"/>
    <cellStyle name="Input [yellow]" xfId="241"/>
    <cellStyle name="Input 2" xfId="242"/>
    <cellStyle name="Input 3" xfId="243"/>
    <cellStyle name="Input 4" xfId="244"/>
    <cellStyle name="Instructions" xfId="245"/>
    <cellStyle name="Integer" xfId="246"/>
    <cellStyle name="Integer 2" xfId="645"/>
    <cellStyle name="Integer 3" xfId="646"/>
    <cellStyle name="Integer 4" xfId="647"/>
    <cellStyle name="Integer_5.2" xfId="648"/>
    <cellStyle name="Intial cap" xfId="247"/>
    <cellStyle name="Linked Cell" xfId="248" builtinId="24" customBuiltin="1"/>
    <cellStyle name="Linked Cell 2" xfId="249"/>
    <cellStyle name="Linked Cell 3" xfId="250"/>
    <cellStyle name="Linked Cell 4" xfId="251"/>
    <cellStyle name="Millares [0]_laroux" xfId="252"/>
    <cellStyle name="Millares_laroux" xfId="253"/>
    <cellStyle name="Milliers [0]_mk" xfId="254"/>
    <cellStyle name="Milliers_mk" xfId="255"/>
    <cellStyle name="Monétaire [0]_mk" xfId="256"/>
    <cellStyle name="Monétaire_mk" xfId="257"/>
    <cellStyle name="MOQ" xfId="258"/>
    <cellStyle name="Neutral" xfId="259" builtinId="28" customBuiltin="1"/>
    <cellStyle name="Neutral 2" xfId="260"/>
    <cellStyle name="Neutral 3" xfId="261"/>
    <cellStyle name="Neutral 4" xfId="262"/>
    <cellStyle name="New Markets operations Indicators" xfId="263"/>
    <cellStyle name="Normal" xfId="0" builtinId="0"/>
    <cellStyle name="Normal - Style1" xfId="264"/>
    <cellStyle name="Normal - Style1 2" xfId="649"/>
    <cellStyle name="Normal - Style1 3" xfId="650"/>
    <cellStyle name="Normal - Style1 4" xfId="651"/>
    <cellStyle name="Normal - Style1_5.2" xfId="652"/>
    <cellStyle name="Normal 1" xfId="836"/>
    <cellStyle name="Normal 10" xfId="265"/>
    <cellStyle name="Normal 10 2" xfId="266"/>
    <cellStyle name="Normal 10 2 2" xfId="774"/>
    <cellStyle name="Normal 10 2 2 2" xfId="801"/>
    <cellStyle name="Normal 10 2 2 3" xfId="818"/>
    <cellStyle name="Normal 10 2 3" xfId="785"/>
    <cellStyle name="Normal 10 2 4" xfId="811"/>
    <cellStyle name="Normal 11" xfId="267"/>
    <cellStyle name="Normal 12" xfId="268"/>
    <cellStyle name="Normal 13" xfId="269"/>
    <cellStyle name="Normal 14" xfId="270"/>
    <cellStyle name="Normal 15" xfId="271"/>
    <cellStyle name="Normal 16" xfId="272"/>
    <cellStyle name="Normal 16 2" xfId="776"/>
    <cellStyle name="Normal 16 2 2" xfId="802"/>
    <cellStyle name="Normal 16 2 3" xfId="819"/>
    <cellStyle name="Normal 16 3" xfId="786"/>
    <cellStyle name="Normal 16 4" xfId="812"/>
    <cellStyle name="Normal 17" xfId="273"/>
    <cellStyle name="Normal 18" xfId="780"/>
    <cellStyle name="Normal 18 2" xfId="792"/>
    <cellStyle name="Normal 18 3" xfId="822"/>
    <cellStyle name="Normal 19" xfId="783"/>
    <cellStyle name="Normal 19 2" xfId="803"/>
    <cellStyle name="Normal 2" xfId="274"/>
    <cellStyle name="Normal 2 10" xfId="653"/>
    <cellStyle name="Normal 2 11" xfId="654"/>
    <cellStyle name="Normal 2 12" xfId="655"/>
    <cellStyle name="Normal 2 2" xfId="275"/>
    <cellStyle name="Normal 2 2 10" xfId="656"/>
    <cellStyle name="Normal 2 2 2" xfId="276"/>
    <cellStyle name="Normal 2 2 2 2" xfId="657"/>
    <cellStyle name="Normal 2 2 2 3" xfId="658"/>
    <cellStyle name="Normal 2 2 2 4" xfId="659"/>
    <cellStyle name="Normal 2 2 2_5.2" xfId="660"/>
    <cellStyle name="Normal 2 2 3" xfId="277"/>
    <cellStyle name="Normal 2 2 3 2" xfId="661"/>
    <cellStyle name="Normal 2 2 3 3" xfId="662"/>
    <cellStyle name="Normal 2 2 3 4" xfId="663"/>
    <cellStyle name="Normal 2 2 3_5.2" xfId="664"/>
    <cellStyle name="Normal 2 2 4" xfId="665"/>
    <cellStyle name="Normal 2 2 5" xfId="666"/>
    <cellStyle name="Normal 2 2 6" xfId="667"/>
    <cellStyle name="Normal 2 2 7" xfId="668"/>
    <cellStyle name="Normal 2 2 8" xfId="669"/>
    <cellStyle name="Normal 2 2 9" xfId="670"/>
    <cellStyle name="Normal 2 2_5.2" xfId="671"/>
    <cellStyle name="Normal 2 3" xfId="278"/>
    <cellStyle name="Normal 2 3 2" xfId="672"/>
    <cellStyle name="Normal 2 3 3" xfId="673"/>
    <cellStyle name="Normal 2 3 4" xfId="674"/>
    <cellStyle name="Normal 2 3_5.2" xfId="675"/>
    <cellStyle name="Normal 2 4" xfId="279"/>
    <cellStyle name="Normal 2 4 2" xfId="676"/>
    <cellStyle name="Normal 2 4 3" xfId="677"/>
    <cellStyle name="Normal 2 4 4" xfId="678"/>
    <cellStyle name="Normal 2 4_5.2" xfId="679"/>
    <cellStyle name="Normal 2 5" xfId="280"/>
    <cellStyle name="Normal 2 5 2" xfId="680"/>
    <cellStyle name="Normal 2 5 3" xfId="681"/>
    <cellStyle name="Normal 2 5 4" xfId="682"/>
    <cellStyle name="Normal 2 5_5.2" xfId="683"/>
    <cellStyle name="Normal 2 6" xfId="281"/>
    <cellStyle name="Normal 2 6 2" xfId="684"/>
    <cellStyle name="Normal 2 6 3" xfId="685"/>
    <cellStyle name="Normal 2 6 4" xfId="686"/>
    <cellStyle name="Normal 2 6_5.2" xfId="687"/>
    <cellStyle name="Normal 2 7" xfId="282"/>
    <cellStyle name="Normal 2 8" xfId="283"/>
    <cellStyle name="Normal 2 9" xfId="284"/>
    <cellStyle name="Normal 2_3_After_SW_changes_PIF_accounts_2008" xfId="285"/>
    <cellStyle name="Normal 20" xfId="804"/>
    <cellStyle name="Normal 21" xfId="790"/>
    <cellStyle name="Normal 21 2" xfId="829"/>
    <cellStyle name="Normal 21 3" xfId="826"/>
    <cellStyle name="Normal 22" xfId="807"/>
    <cellStyle name="Normal 3" xfId="286"/>
    <cellStyle name="Normal 3 2" xfId="287"/>
    <cellStyle name="Normal 3 2 2" xfId="288"/>
    <cellStyle name="Normal 3 2 3" xfId="688"/>
    <cellStyle name="Normal 3 2 4" xfId="689"/>
    <cellStyle name="Normal 3 2_5.2" xfId="690"/>
    <cellStyle name="Normal 3 3" xfId="289"/>
    <cellStyle name="Normal 3 4" xfId="777"/>
    <cellStyle name="Normal 3 5" xfId="773"/>
    <cellStyle name="Normal 3 6" xfId="775"/>
    <cellStyle name="Normal 3 7" xfId="771"/>
    <cellStyle name="Normal 3 8" xfId="787"/>
    <cellStyle name="Normal 3 9" xfId="813"/>
    <cellStyle name="Normal 3_31 Dec Accounts 2009-NIUT" xfId="290"/>
    <cellStyle name="Normal 4" xfId="291"/>
    <cellStyle name="Normal 4 2" xfId="292"/>
    <cellStyle name="Normal 4 2 2" xfId="691"/>
    <cellStyle name="Normal 4 2 3" xfId="692"/>
    <cellStyle name="Normal 4 2 4" xfId="693"/>
    <cellStyle name="Normal 4 2_5.2" xfId="694"/>
    <cellStyle name="Normal 4 3" xfId="695"/>
    <cellStyle name="Normal 4 4" xfId="696"/>
    <cellStyle name="Normal 4 5" xfId="697"/>
    <cellStyle name="Normal 4_5.2" xfId="698"/>
    <cellStyle name="Normal 5" xfId="293"/>
    <cellStyle name="Normal 5 10" xfId="699"/>
    <cellStyle name="Normal 5 2" xfId="294"/>
    <cellStyle name="Normal 5 2 2" xfId="700"/>
    <cellStyle name="Normal 5 2 3" xfId="701"/>
    <cellStyle name="Normal 5 2 4" xfId="702"/>
    <cellStyle name="Normal 5 2_5.2" xfId="703"/>
    <cellStyle name="Normal 5 3" xfId="295"/>
    <cellStyle name="Normal 5 4" xfId="704"/>
    <cellStyle name="Normal 5 5" xfId="705"/>
    <cellStyle name="Normal 5 6" xfId="706"/>
    <cellStyle name="Normal 5 7" xfId="707"/>
    <cellStyle name="Normal 5 8" xfId="708"/>
    <cellStyle name="Normal 5 9" xfId="709"/>
    <cellStyle name="Normal 5_31 Dec Accounts 2009-NIUT" xfId="296"/>
    <cellStyle name="Normal 6" xfId="297"/>
    <cellStyle name="Normal 6 2" xfId="298"/>
    <cellStyle name="Normal 6 3" xfId="710"/>
    <cellStyle name="Normal 6 4" xfId="711"/>
    <cellStyle name="Normal 6_5.2" xfId="712"/>
    <cellStyle name="Normal 7" xfId="299"/>
    <cellStyle name="Normal 7 2" xfId="713"/>
    <cellStyle name="Normal 7 3" xfId="714"/>
    <cellStyle name="Normal 7 4" xfId="715"/>
    <cellStyle name="Normal 7_5.2" xfId="716"/>
    <cellStyle name="Normal 8" xfId="300"/>
    <cellStyle name="Normal 8 2" xfId="301"/>
    <cellStyle name="Normal 8 3" xfId="717"/>
    <cellStyle name="Normal 8 4" xfId="718"/>
    <cellStyle name="Normal 8_5.2" xfId="719"/>
    <cellStyle name="Normal 9" xfId="302"/>
    <cellStyle name="Normal_5-1-2010-NIT-EMOF DEC Accounts 2009(F)" xfId="387"/>
    <cellStyle name="Normal_ACCONTS MONTHLY dec03" xfId="303"/>
    <cellStyle name="Normal_Accounts 25 June to 31 July 2007 5 Columner" xfId="837"/>
    <cellStyle name="Normal_Accounts June 2007 5 Col 10.08.07" xfId="835"/>
    <cellStyle name="Normal_Balanca sheet analysis 01" xfId="304"/>
    <cellStyle name="Normal_Cash Flow for the period" xfId="305"/>
    <cellStyle name="Normal_Final accou by farrukh PCMF" xfId="306"/>
    <cellStyle name="Normal_Final accou by farrukh PCMF_Accounts 2009-NIUT NON LOC-after RAJ final-signed" xfId="815"/>
    <cellStyle name="Normal_Final_Accounts_2009_NIT GBF  Financial Statements - Septembr 30, 2010 - Draft 1" xfId="834"/>
    <cellStyle name="Normal_Half_Yearly_Accounts_NCF_2006__auditors_" xfId="307"/>
    <cellStyle name="Normal_NIT GBF  Financial Statements - HY 09 SALMAN REVIEWED" xfId="832"/>
    <cellStyle name="Normal_NIT GBF  Financial Statements - HY 09 SALMAN REVIEWED_NIT GBF - FS - Dec 31, 2010 - Income" xfId="833"/>
    <cellStyle name="Normal_NIT-EMOF DEC Accounts 2009(8-1-2010)" xfId="388"/>
    <cellStyle name="Normal_NIT-EMOF SEP Accounts 2009" xfId="308"/>
    <cellStyle name="Normal_Portfolio" xfId="309"/>
    <cellStyle name="Normal_Worksheet in   PGF 2005 final" xfId="310"/>
    <cellStyle name="Normal_Worksheet in   PGF 2005 final 2" xfId="311"/>
    <cellStyle name="Normal_Worksheet in   PGF 2005 final_Accounts 2009-NIUT NON LOC-after RAJ final-signed" xfId="312"/>
    <cellStyle name="Normal_Worksheet in   PGF 2005 final_Accounts 2009-NIUT NON LOC-after RAJ final-signed 2" xfId="389"/>
    <cellStyle name="Note" xfId="313" builtinId="10" customBuiltin="1"/>
    <cellStyle name="Note 2" xfId="314"/>
    <cellStyle name="Note 2 2" xfId="720"/>
    <cellStyle name="Note 2 3" xfId="721"/>
    <cellStyle name="Note 2 4" xfId="722"/>
    <cellStyle name="Note 3" xfId="315"/>
    <cellStyle name="Note 3 2" xfId="723"/>
    <cellStyle name="Note 3 3" xfId="724"/>
    <cellStyle name="Note 3 4" xfId="725"/>
    <cellStyle name="Note 4" xfId="316"/>
    <cellStyle name="Note 5" xfId="726"/>
    <cellStyle name="Note 6" xfId="727"/>
    <cellStyle name="Option" xfId="317"/>
    <cellStyle name="Output" xfId="318" builtinId="21" customBuiltin="1"/>
    <cellStyle name="Output 2" xfId="319"/>
    <cellStyle name="Output 3" xfId="320"/>
    <cellStyle name="Output 4" xfId="321"/>
    <cellStyle name="OUTPUT AMOUNTS" xfId="322"/>
    <cellStyle name="Output Amounts 2" xfId="323"/>
    <cellStyle name="Output Amounts_DOM Balanced 24 Jan 2008" xfId="324"/>
    <cellStyle name="OUTPUT COLUMN HEADINGS" xfId="325"/>
    <cellStyle name="Output Column Headings 2" xfId="326"/>
    <cellStyle name="Output Column Headings_KP_-_ANNUAL_ACCOUNTS EPZ" xfId="327"/>
    <cellStyle name="OUTPUT LINE ITEMS" xfId="328"/>
    <cellStyle name="Output Line Items 2" xfId="329"/>
    <cellStyle name="Output Line Items_DOM Balanced 24 Jan 2008" xfId="330"/>
    <cellStyle name="OUTPUT REPORT HEADING" xfId="331"/>
    <cellStyle name="Output Report Heading 2" xfId="332"/>
    <cellStyle name="Output Report Heading_KP_-_ANNUAL_ACCOUNTS EPZ" xfId="333"/>
    <cellStyle name="OUTPUT REPORT TITLE" xfId="334"/>
    <cellStyle name="Output Report Title 2" xfId="335"/>
    <cellStyle name="Output Report Title_KP_-_ANNUAL_ACCOUNTS EPZ" xfId="336"/>
    <cellStyle name="Percent" xfId="337" builtinId="5"/>
    <cellStyle name="Percent [2]" xfId="338"/>
    <cellStyle name="Percent [2] 2" xfId="728"/>
    <cellStyle name="Percent [2] 3" xfId="729"/>
    <cellStyle name="Percent [2] 4" xfId="730"/>
    <cellStyle name="Percent 2" xfId="339"/>
    <cellStyle name="Percent 2 10" xfId="731"/>
    <cellStyle name="Percent 2 2" xfId="340"/>
    <cellStyle name="Percent 2 2 2" xfId="341"/>
    <cellStyle name="Percent 2 2 2 2" xfId="732"/>
    <cellStyle name="Percent 2 2 2 3" xfId="733"/>
    <cellStyle name="Percent 2 2 2 4" xfId="734"/>
    <cellStyle name="Percent 2 2 3" xfId="342"/>
    <cellStyle name="Percent 2 2 3 2" xfId="735"/>
    <cellStyle name="Percent 2 2 3 3" xfId="736"/>
    <cellStyle name="Percent 2 2 3 4" xfId="737"/>
    <cellStyle name="Percent 2 2 4" xfId="738"/>
    <cellStyle name="Percent 2 2 5" xfId="739"/>
    <cellStyle name="Percent 2 2 6" xfId="740"/>
    <cellStyle name="Percent 2 3" xfId="343"/>
    <cellStyle name="Percent 2 3 2" xfId="741"/>
    <cellStyle name="Percent 2 3 3" xfId="742"/>
    <cellStyle name="Percent 2 3 4" xfId="743"/>
    <cellStyle name="Percent 2 4" xfId="344"/>
    <cellStyle name="Percent 2 4 2" xfId="744"/>
    <cellStyle name="Percent 2 4 3" xfId="745"/>
    <cellStyle name="Percent 2 4 4" xfId="746"/>
    <cellStyle name="Percent 2 5" xfId="345"/>
    <cellStyle name="Percent 2 5 2" xfId="747"/>
    <cellStyle name="Percent 2 5 3" xfId="748"/>
    <cellStyle name="Percent 2 5 4" xfId="749"/>
    <cellStyle name="Percent 2 6" xfId="346"/>
    <cellStyle name="Percent 2 6 2" xfId="750"/>
    <cellStyle name="Percent 2 6 3" xfId="751"/>
    <cellStyle name="Percent 2 6 4" xfId="752"/>
    <cellStyle name="Percent 2 7" xfId="347"/>
    <cellStyle name="Percent 2 7 2" xfId="753"/>
    <cellStyle name="Percent 2 7 3" xfId="754"/>
    <cellStyle name="Percent 2 7 4" xfId="755"/>
    <cellStyle name="Percent 2 8" xfId="756"/>
    <cellStyle name="Percent 2 9" xfId="757"/>
    <cellStyle name="Percent 3" xfId="348"/>
    <cellStyle name="Percent 3 2" xfId="349"/>
    <cellStyle name="Percent 3 3" xfId="758"/>
    <cellStyle name="Percent 3 4" xfId="759"/>
    <cellStyle name="Percent 4" xfId="350"/>
    <cellStyle name="Percent 4 2" xfId="760"/>
    <cellStyle name="Percent 4 3" xfId="761"/>
    <cellStyle name="Percent 4 4" xfId="762"/>
    <cellStyle name="Percent 5" xfId="351"/>
    <cellStyle name="Percent 5 2" xfId="352"/>
    <cellStyle name="Percent 5 3" xfId="763"/>
    <cellStyle name="Percent 5 4" xfId="764"/>
    <cellStyle name="Percent 6" xfId="353"/>
    <cellStyle name="Percent 6 2" xfId="778"/>
    <cellStyle name="Percent 6 2 2" xfId="805"/>
    <cellStyle name="Percent 6 2 3" xfId="820"/>
    <cellStyle name="Percent 6 3" xfId="788"/>
    <cellStyle name="Percent 6 4" xfId="814"/>
    <cellStyle name="Percent 7" xfId="354"/>
    <cellStyle name="Percent 8" xfId="782"/>
    <cellStyle name="Percent 8 2" xfId="806"/>
    <cellStyle name="Percent 8 3" xfId="824"/>
    <cellStyle name="Percent 9" xfId="828"/>
    <cellStyle name="Percent 9 2" xfId="831"/>
    <cellStyle name="Pivot Style Medium 13" xfId="355"/>
    <cellStyle name="Pivot Style Medium 13 2" xfId="765"/>
    <cellStyle name="Pivot Style Medium 13 3" xfId="766"/>
    <cellStyle name="Pivot Style Medium 13 4" xfId="767"/>
    <cellStyle name="PSChar" xfId="356"/>
    <cellStyle name="RevList" xfId="357"/>
    <cellStyle name="ri_Category 30-06-07_4" xfId="358"/>
    <cellStyle name="SAPBEXstdItem" xfId="359"/>
    <cellStyle name="Style 1" xfId="360"/>
    <cellStyle name="Style 1 2" xfId="361"/>
    <cellStyle name="Style 1 3" xfId="768"/>
    <cellStyle name="Style 1 4" xfId="769"/>
    <cellStyle name="Style 1_5.2" xfId="770"/>
    <cellStyle name="Sub-group Hdg" xfId="362"/>
    <cellStyle name="Sub-heading" xfId="363"/>
    <cellStyle name="Subtotal" xfId="364"/>
    <cellStyle name="Title" xfId="365" builtinId="15" customBuiltin="1"/>
    <cellStyle name="Title 2" xfId="366"/>
    <cellStyle name="Title 3" xfId="367"/>
    <cellStyle name="Title 4" xfId="368"/>
    <cellStyle name="Total" xfId="369" builtinId="25" customBuiltin="1"/>
    <cellStyle name="Total 2" xfId="370"/>
    <cellStyle name="Total 3" xfId="371"/>
    <cellStyle name="Total 4" xfId="372"/>
    <cellStyle name="Tusental (0)_pldt" xfId="373"/>
    <cellStyle name="Tusental_pldt" xfId="374"/>
    <cellStyle name="Value" xfId="375"/>
    <cellStyle name="Valuta (0)_pldt" xfId="376"/>
    <cellStyle name="Valuta_pldt" xfId="377"/>
    <cellStyle name="Warning Text" xfId="378" builtinId="11" customBuiltin="1"/>
    <cellStyle name="Warning Text 2" xfId="379"/>
    <cellStyle name="Warning Text 3" xfId="380"/>
    <cellStyle name="Warning Text 4" xfId="381"/>
    <cellStyle name="桁区切り [0.00]_RESULTS" xfId="382"/>
    <cellStyle name="桁区切り_RESULTS" xfId="383"/>
    <cellStyle name="標準_RESULTS" xfId="384"/>
    <cellStyle name="通貨 [0.00]_RESULTS" xfId="385"/>
    <cellStyle name="通貨_RESULTS" xfId="386"/>
  </cellStyles>
  <dxfs count="1">
    <dxf>
      <font>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C1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63" Type="http://schemas.openxmlformats.org/officeDocument/2006/relationships/externalLink" Target="externalLinks/externalLink44.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61" Type="http://schemas.openxmlformats.org/officeDocument/2006/relationships/externalLink" Target="externalLinks/externalLink4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theme" Target="theme/theme1.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133350</xdr:rowOff>
    </xdr:from>
    <xdr:to>
      <xdr:col>9</xdr:col>
      <xdr:colOff>381000</xdr:colOff>
      <xdr:row>35</xdr:row>
      <xdr:rowOff>9525</xdr:rowOff>
    </xdr:to>
    <xdr:sp macro="" textlink="">
      <xdr:nvSpPr>
        <xdr:cNvPr id="2" name="AutoShape 1"/>
        <xdr:cNvSpPr>
          <a:spLocks noChangeArrowheads="1"/>
        </xdr:cNvSpPr>
      </xdr:nvSpPr>
      <xdr:spPr bwMode="auto">
        <a:xfrm>
          <a:off x="428625" y="2076450"/>
          <a:ext cx="5438775" cy="3829050"/>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200" b="0" i="0" strike="noStrike">
              <a:solidFill>
                <a:srgbClr val="000000"/>
              </a:solidFill>
              <a:latin typeface="ChevaraOutline"/>
            </a:rPr>
            <a:t>NIT Islamic Pension Fund</a:t>
          </a: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a:t>
          </a:r>
          <a:r>
            <a:rPr lang="en-US" sz="3200" b="0" i="0" strike="noStrike" baseline="0">
              <a:solidFill>
                <a:srgbClr val="000000"/>
              </a:solidFill>
              <a:latin typeface="ChevaraOutline"/>
            </a:rPr>
            <a:t> nine months </a:t>
          </a:r>
          <a:r>
            <a:rPr lang="en-US" sz="3200" b="0" i="0" strike="noStrike">
              <a:solidFill>
                <a:srgbClr val="000000"/>
              </a:solidFill>
              <a:latin typeface="ChevaraOutline"/>
            </a:rPr>
            <a:t>ended</a:t>
          </a:r>
        </a:p>
        <a:p>
          <a:pPr algn="ctr" rtl="0">
            <a:defRPr sz="1000"/>
          </a:pPr>
          <a:r>
            <a:rPr lang="en-US" sz="3200" b="0" i="0" strike="noStrike" baseline="0">
              <a:solidFill>
                <a:srgbClr val="000000"/>
              </a:solidFill>
              <a:latin typeface="ChevaraOutline"/>
            </a:rPr>
            <a:t>31March </a:t>
          </a:r>
          <a:r>
            <a:rPr lang="en-US" sz="3200" b="0" i="0" strike="noStrike">
              <a:solidFill>
                <a:srgbClr val="000000"/>
              </a:solidFill>
              <a:latin typeface="ChevaraOutline"/>
            </a:rPr>
            <a:t>2016</a:t>
          </a: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3</xdr:col>
      <xdr:colOff>257175</xdr:colOff>
      <xdr:row>2</xdr:row>
      <xdr:rowOff>28575</xdr:rowOff>
    </xdr:from>
    <xdr:to>
      <xdr:col>5</xdr:col>
      <xdr:colOff>447675</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085975" y="352425"/>
          <a:ext cx="14097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0</xdr:rowOff>
    </xdr:from>
    <xdr:to>
      <xdr:col>3</xdr:col>
      <xdr:colOff>0</xdr:colOff>
      <xdr:row>6</xdr:row>
      <xdr:rowOff>0</xdr:rowOff>
    </xdr:to>
    <xdr:sp macro="" textlink="">
      <xdr:nvSpPr>
        <xdr:cNvPr id="46303" name="Text Box 1"/>
        <xdr:cNvSpPr txBox="1">
          <a:spLocks noChangeArrowheads="1"/>
        </xdr:cNvSpPr>
      </xdr:nvSpPr>
      <xdr:spPr bwMode="auto">
        <a:xfrm>
          <a:off x="409575" y="1066800"/>
          <a:ext cx="3429000" cy="0"/>
        </a:xfrm>
        <a:prstGeom prst="rect">
          <a:avLst/>
        </a:prstGeom>
        <a:noFill/>
        <a:ln w="9525">
          <a:noFill/>
          <a:miter lim="800000"/>
          <a:headEnd/>
          <a:tailEnd/>
        </a:ln>
      </xdr:spPr>
    </xdr:sp>
    <xdr:clientData/>
  </xdr:twoCellAnchor>
  <xdr:twoCellAnchor>
    <xdr:from>
      <xdr:col>1</xdr:col>
      <xdr:colOff>19050</xdr:colOff>
      <xdr:row>6</xdr:row>
      <xdr:rowOff>0</xdr:rowOff>
    </xdr:from>
    <xdr:to>
      <xdr:col>17</xdr:col>
      <xdr:colOff>819150</xdr:colOff>
      <xdr:row>6</xdr:row>
      <xdr:rowOff>0</xdr:rowOff>
    </xdr:to>
    <xdr:sp macro="" textlink="">
      <xdr:nvSpPr>
        <xdr:cNvPr id="463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17</xdr:col>
      <xdr:colOff>819150</xdr:colOff>
      <xdr:row>6</xdr:row>
      <xdr:rowOff>0</xdr:rowOff>
    </xdr:to>
    <xdr:sp macro="" textlink="">
      <xdr:nvSpPr>
        <xdr:cNvPr id="463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102</xdr:row>
      <xdr:rowOff>0</xdr:rowOff>
    </xdr:from>
    <xdr:to>
      <xdr:col>12</xdr:col>
      <xdr:colOff>0</xdr:colOff>
      <xdr:row>102</xdr:row>
      <xdr:rowOff>0</xdr:rowOff>
    </xdr:to>
    <xdr:sp macro="" textlink="">
      <xdr:nvSpPr>
        <xdr:cNvPr id="2" name="Text 28"/>
        <xdr:cNvSpPr txBox="1">
          <a:spLocks noChangeArrowheads="1"/>
        </xdr:cNvSpPr>
      </xdr:nvSpPr>
      <xdr:spPr bwMode="auto">
        <a:xfrm>
          <a:off x="352425" y="2924175"/>
          <a:ext cx="5962650"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erguson%20Auditors/JUNE%2030/Final%20RAJ-reviewed%20Feb%2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erguson%20Auditors/EMOF/Ramiz%20Jan%2005/EMOF%20Accounts%20(Ramiz%20working)%20Jan%2016%20(11%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 val="Note 9.2.4-9.2.7"/>
      <sheetName val="Abu_Dhabi"/>
      <sheetName val="Abu_Dhabi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Links"/>
      <sheetName val="TB Mapping"/>
      <sheetName val="Element"/>
      <sheetName val="TB"/>
      <sheetName val="W PnL"/>
      <sheetName val="W UHF"/>
      <sheetName val="cash flow working"/>
      <sheetName val="Qtr CF"/>
      <sheetName val="BS"/>
      <sheetName val="P&amp;L"/>
      <sheetName val="Other Comp Income"/>
      <sheetName val="Distri"/>
      <sheetName val="UHF"/>
      <sheetName val="cash flow"/>
      <sheetName val="1 - 4"/>
      <sheetName val="5 - 7"/>
      <sheetName val="8"/>
      <sheetName val="NI(U)T-HFT Final"/>
      <sheetName val="NI(U)T-AFS Final"/>
      <sheetName val="Annexure 3"/>
      <sheetName val="adju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NATIONAL INVESTMENT (UNIT) TRUST</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TB"/>
      <sheetName val="TBB"/>
      <sheetName val="BS"/>
      <sheetName val="IS"/>
      <sheetName val="IS Quater working"/>
      <sheetName val="COI"/>
      <sheetName val="OCI Quater working"/>
      <sheetName val="Distribution "/>
      <sheetName val="Distribution Q working"/>
      <sheetName val="UHF"/>
      <sheetName val="UHF Q working"/>
      <sheetName val="Cash Flow "/>
      <sheetName val="CF Q working"/>
      <sheetName val="CF"/>
      <sheetName val="Notes 1-2"/>
      <sheetName val="Notes 2-6"/>
      <sheetName val="Notes 7-9"/>
      <sheetName val="Notes 3.10-4.3"/>
      <sheetName val="Notes 5-11"/>
      <sheetName val="working for investmenst note"/>
      <sheetName val="Notes 10-11"/>
      <sheetName val="RP Q working"/>
      <sheetName val="W.A units"/>
      <sheetName val="W.A units (Q)"/>
      <sheetName val="Annex(2)"/>
      <sheetName val="adjustment"/>
      <sheetName val="Units"/>
      <sheetName val="Weighted Av No. Units"/>
      <sheetName val="distribution income working"/>
      <sheetName val="adjustments"/>
      <sheetName val="working for rp"/>
      <sheetName val="Cash Flow"/>
      <sheetName val="investment note"/>
      <sheetName val="W.A units quart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A3" t="str">
            <v>FOR THE HALF YEAR AND QUARTER ENDED DECEMBER 31, 2011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dimension ref="A1:V112"/>
  <sheetViews>
    <sheetView view="pageBreakPreview" topLeftCell="A19" zoomScaleSheetLayoutView="100" workbookViewId="0">
      <selection activeCell="H85" sqref="H85"/>
    </sheetView>
  </sheetViews>
  <sheetFormatPr defaultRowHeight="15.75"/>
  <cols>
    <col min="1" max="1" width="13.125" style="452" customWidth="1"/>
    <col min="2" max="2" width="12.125" style="452" bestFit="1" customWidth="1"/>
    <col min="3" max="3" width="7.625" style="452" bestFit="1" customWidth="1"/>
    <col min="4" max="6" width="6.625" style="452" bestFit="1" customWidth="1"/>
    <col min="7" max="7" width="7.625" style="452" bestFit="1" customWidth="1"/>
    <col min="8" max="8" width="13.875" style="452" bestFit="1" customWidth="1"/>
    <col min="9" max="9" width="3.125" style="452" bestFit="1" customWidth="1"/>
    <col min="10" max="10" width="9.5" style="452" bestFit="1" customWidth="1"/>
    <col min="11" max="17" width="15.375" style="452" customWidth="1"/>
    <col min="18" max="18" width="13.75" style="452" bestFit="1" customWidth="1"/>
    <col min="19" max="19" width="10.125" style="452" customWidth="1"/>
    <col min="20" max="21" width="12.75" style="452" bestFit="1" customWidth="1"/>
    <col min="22" max="22" width="10.75" style="452" bestFit="1" customWidth="1"/>
    <col min="23" max="23" width="10.125" style="452" bestFit="1" customWidth="1"/>
    <col min="24" max="16384" width="9" style="452"/>
  </cols>
  <sheetData>
    <row r="1" spans="1:22" ht="14.1" customHeight="1">
      <c r="A1" s="449" t="s">
        <v>251</v>
      </c>
      <c r="B1" s="450"/>
      <c r="C1" s="450"/>
      <c r="D1" s="450"/>
      <c r="E1" s="451"/>
      <c r="F1" s="451"/>
      <c r="G1" s="451"/>
      <c r="H1" s="451"/>
      <c r="I1" s="451"/>
      <c r="J1" s="451"/>
      <c r="K1" s="451"/>
      <c r="L1" s="451"/>
      <c r="M1" s="451"/>
      <c r="N1" s="451"/>
      <c r="O1" s="451"/>
      <c r="P1" s="451"/>
      <c r="Q1" s="451"/>
      <c r="R1" s="109"/>
      <c r="S1" s="109"/>
      <c r="T1" s="109"/>
      <c r="U1" s="109"/>
      <c r="V1" s="109"/>
    </row>
    <row r="2" spans="1:22" ht="14.1" customHeight="1">
      <c r="A2" s="449" t="s">
        <v>252</v>
      </c>
      <c r="B2" s="450"/>
      <c r="C2" s="450"/>
      <c r="D2" s="450"/>
      <c r="E2" s="451"/>
      <c r="F2" s="451"/>
      <c r="G2" s="451"/>
      <c r="H2" s="451"/>
      <c r="I2" s="451"/>
      <c r="J2" s="451"/>
      <c r="K2" s="451"/>
      <c r="L2" s="451"/>
      <c r="M2" s="451"/>
      <c r="N2" s="451"/>
      <c r="O2" s="451"/>
      <c r="P2" s="451"/>
      <c r="Q2" s="451"/>
      <c r="R2" s="109"/>
      <c r="S2" s="109"/>
      <c r="T2" s="109"/>
      <c r="U2" s="109"/>
      <c r="V2" s="109"/>
    </row>
    <row r="3" spans="1:22" ht="14.1" customHeight="1">
      <c r="A3" s="450"/>
      <c r="B3" s="450"/>
      <c r="C3" s="450"/>
      <c r="D3" s="450"/>
      <c r="E3" s="451"/>
      <c r="F3" s="451"/>
      <c r="G3" s="451"/>
      <c r="H3" s="451"/>
      <c r="I3" s="451"/>
      <c r="J3" s="451"/>
      <c r="K3" s="451"/>
      <c r="L3" s="451"/>
      <c r="M3" s="451"/>
      <c r="N3" s="451"/>
      <c r="O3" s="451"/>
      <c r="P3" s="451"/>
      <c r="Q3" s="451"/>
      <c r="R3" s="109"/>
      <c r="S3" s="109"/>
      <c r="T3" s="109"/>
      <c r="U3" s="109"/>
      <c r="V3" s="109"/>
    </row>
    <row r="4" spans="1:22">
      <c r="A4" s="452" t="s">
        <v>256</v>
      </c>
    </row>
    <row r="5" spans="1:22">
      <c r="B5" s="452" t="s">
        <v>17</v>
      </c>
      <c r="C5" s="452" t="s">
        <v>259</v>
      </c>
      <c r="D5" s="455" t="s">
        <v>260</v>
      </c>
      <c r="E5" s="455" t="s">
        <v>221</v>
      </c>
      <c r="F5" s="455" t="s">
        <v>262</v>
      </c>
      <c r="G5" s="455" t="s">
        <v>261</v>
      </c>
      <c r="H5" s="455" t="s">
        <v>263</v>
      </c>
      <c r="K5" s="455" t="s">
        <v>264</v>
      </c>
      <c r="M5" s="452" t="s">
        <v>62</v>
      </c>
      <c r="N5" s="452" t="s">
        <v>265</v>
      </c>
      <c r="O5" s="455" t="s">
        <v>233</v>
      </c>
    </row>
    <row r="6" spans="1:22">
      <c r="A6" s="459">
        <v>42186</v>
      </c>
      <c r="B6" s="456">
        <v>101497336</v>
      </c>
      <c r="C6" s="456">
        <f>ROUND((B6*(1.5%/365)),0)</f>
        <v>4171</v>
      </c>
      <c r="D6" s="456">
        <f t="shared" ref="D6:D10" si="0">ROUND((C6*0.174),0)</f>
        <v>726</v>
      </c>
      <c r="E6" s="456">
        <f t="shared" ref="E6:E10" si="1">ROUND((C6*0.16),0)</f>
        <v>667</v>
      </c>
      <c r="F6" s="456">
        <f>ROUND(((1/30*1%)/365*B6),0)</f>
        <v>93</v>
      </c>
      <c r="G6" s="456">
        <f>ROUND((300000/365),0)/3</f>
        <v>274</v>
      </c>
      <c r="H6" s="456">
        <v>69143897</v>
      </c>
      <c r="I6" s="456">
        <f>5.5%/365</f>
        <v>1.5068493150684933E-4</v>
      </c>
      <c r="J6" s="456">
        <f>ROUND((H6*I6),0)</f>
        <v>10419</v>
      </c>
      <c r="K6" s="456">
        <v>8537502</v>
      </c>
      <c r="L6" s="456">
        <f>14025+2103.75+853.7502</f>
        <v>16982.500199999999</v>
      </c>
      <c r="M6" s="454">
        <f>K6+L6</f>
        <v>8554484.5001999997</v>
      </c>
      <c r="O6" s="454">
        <f>M6-N6</f>
        <v>8554484.5001999997</v>
      </c>
      <c r="P6" s="456">
        <f>ROUND((300000/365),0)</f>
        <v>822</v>
      </c>
    </row>
    <row r="7" spans="1:22">
      <c r="A7" s="460">
        <f>A6+1</f>
        <v>42187</v>
      </c>
      <c r="B7" s="456">
        <v>101967265</v>
      </c>
      <c r="C7" s="456">
        <f>ROUND((B7*(1.5%/365)),0)</f>
        <v>4190</v>
      </c>
      <c r="D7" s="456">
        <f>ROUND((C7*0.1624),0)</f>
        <v>680</v>
      </c>
      <c r="E7" s="456">
        <f t="shared" si="1"/>
        <v>670</v>
      </c>
      <c r="F7" s="456">
        <f>ROUND(((1/30*1%)/365*B7),0)</f>
        <v>93</v>
      </c>
      <c r="G7" s="456">
        <f>ROUND((300000/365),0)/3</f>
        <v>274</v>
      </c>
      <c r="H7" s="456">
        <f>48690511.14+20000000</f>
        <v>68690511.140000001</v>
      </c>
      <c r="I7" s="456">
        <f>5.5%/365</f>
        <v>1.5068493150684933E-4</v>
      </c>
      <c r="J7" s="456">
        <f>ROUND((H7*I7),0)</f>
        <v>10351</v>
      </c>
      <c r="K7" s="452">
        <v>0</v>
      </c>
      <c r="L7" s="452">
        <v>0</v>
      </c>
      <c r="M7" s="454">
        <f>M6+K7+L7</f>
        <v>8554484.5001999997</v>
      </c>
      <c r="N7" s="452">
        <v>8550000</v>
      </c>
      <c r="O7" s="454">
        <f>M7-N7</f>
        <v>4484.5001999996603</v>
      </c>
      <c r="P7" s="454">
        <f>P6/3</f>
        <v>274</v>
      </c>
    </row>
    <row r="8" spans="1:22">
      <c r="A8" s="460">
        <f t="shared" ref="A8:A36" si="2">A7+1</f>
        <v>42188</v>
      </c>
      <c r="B8" s="456">
        <v>102118679</v>
      </c>
      <c r="C8" s="456">
        <f>ROUND((B8*(1.5%/365)),0)</f>
        <v>4197</v>
      </c>
      <c r="D8" s="456">
        <f>ROUND((C8*0.1624),0)</f>
        <v>682</v>
      </c>
      <c r="E8" s="456">
        <f t="shared" ref="E8" si="3">ROUND((C8*0.16),0)</f>
        <v>672</v>
      </c>
      <c r="F8" s="456">
        <f>ROUND(((1/30*1%)/365*B8),0)</f>
        <v>93</v>
      </c>
      <c r="G8" s="456">
        <f>ROUND((300000/365),0)/3</f>
        <v>274</v>
      </c>
      <c r="H8" s="456">
        <f>44284511.14*0+64844171.24</f>
        <v>64844171.240000002</v>
      </c>
      <c r="I8" s="456">
        <f t="shared" ref="I8:I36" si="4">5.5%/365</f>
        <v>1.5068493150684933E-4</v>
      </c>
      <c r="J8" s="456">
        <f>ROUND((H8*I8),0)</f>
        <v>9771</v>
      </c>
      <c r="K8" s="454">
        <f>J6+J7</f>
        <v>20770</v>
      </c>
    </row>
    <row r="9" spans="1:22">
      <c r="A9" s="460">
        <f t="shared" si="2"/>
        <v>42189</v>
      </c>
      <c r="B9" s="456">
        <v>102118679</v>
      </c>
      <c r="C9" s="456">
        <f>ROUND((B9*(1.5%/365)),0)</f>
        <v>4197</v>
      </c>
      <c r="D9" s="456">
        <f t="shared" si="0"/>
        <v>730</v>
      </c>
      <c r="E9" s="456">
        <f t="shared" si="1"/>
        <v>672</v>
      </c>
      <c r="F9" s="456">
        <f>ROUND(((1/30*1%)/365*B9),0)</f>
        <v>93</v>
      </c>
      <c r="G9" s="456">
        <f>952/3</f>
        <v>317.33333333333331</v>
      </c>
      <c r="H9" s="352">
        <v>64844171.240000002</v>
      </c>
      <c r="I9" s="456">
        <f t="shared" si="4"/>
        <v>1.5068493150684933E-4</v>
      </c>
      <c r="J9" s="456">
        <f>ROUND((H9*I9),0)</f>
        <v>9771</v>
      </c>
      <c r="K9" s="452">
        <f>J7*2</f>
        <v>20702</v>
      </c>
    </row>
    <row r="10" spans="1:22">
      <c r="A10" s="460">
        <f t="shared" si="2"/>
        <v>42190</v>
      </c>
      <c r="B10" s="456">
        <v>102118679</v>
      </c>
      <c r="C10" s="456">
        <f>ROUND((B10*(1.5%/365)),0)</f>
        <v>4197</v>
      </c>
      <c r="D10" s="456">
        <f t="shared" si="0"/>
        <v>730</v>
      </c>
      <c r="E10" s="456">
        <f t="shared" si="1"/>
        <v>672</v>
      </c>
      <c r="F10" s="456">
        <f>ROUND(((1/30*1%)/365*B10),0)</f>
        <v>93</v>
      </c>
      <c r="G10" s="456">
        <f t="shared" ref="G10:G11" si="5">952/3</f>
        <v>317.33333333333331</v>
      </c>
      <c r="H10" s="352">
        <v>64844171.240000002</v>
      </c>
      <c r="I10" s="456">
        <f t="shared" si="4"/>
        <v>1.5068493150684933E-4</v>
      </c>
      <c r="J10" s="456">
        <f>ROUND((H10*I10),0)</f>
        <v>9771</v>
      </c>
      <c r="K10" s="454">
        <f>K8-K9</f>
        <v>68</v>
      </c>
    </row>
    <row r="11" spans="1:22">
      <c r="A11" s="460">
        <f t="shared" si="2"/>
        <v>42191</v>
      </c>
      <c r="B11" s="456">
        <v>102086641</v>
      </c>
      <c r="C11" s="456">
        <f t="shared" ref="C11:C36" si="6">ROUND((B11*(1.5%/365)),0)</f>
        <v>4195</v>
      </c>
      <c r="D11" s="456">
        <f t="shared" ref="D11:D36" si="7">ROUND((C11*0.174),0)</f>
        <v>730</v>
      </c>
      <c r="E11" s="456">
        <f t="shared" ref="E11:E36" si="8">ROUND((C11*0.16),0)</f>
        <v>671</v>
      </c>
      <c r="F11" s="456">
        <f t="shared" ref="F11:F36" si="9">ROUND(((1/30*1%)/365*B11),0)</f>
        <v>93</v>
      </c>
      <c r="G11" s="456">
        <f t="shared" si="5"/>
        <v>317.33333333333331</v>
      </c>
      <c r="H11" s="352">
        <f>64844171.24-9300000</f>
        <v>55544171.240000002</v>
      </c>
      <c r="I11" s="456">
        <f t="shared" si="4"/>
        <v>1.5068493150684933E-4</v>
      </c>
      <c r="J11" s="456">
        <f t="shared" ref="J11:J36" si="10">ROUND((H11*I11),0)</f>
        <v>8370</v>
      </c>
    </row>
    <row r="12" spans="1:22">
      <c r="A12" s="460">
        <f t="shared" si="2"/>
        <v>42192</v>
      </c>
      <c r="B12" s="456"/>
      <c r="C12" s="456">
        <f t="shared" si="6"/>
        <v>0</v>
      </c>
      <c r="D12" s="456">
        <f t="shared" si="7"/>
        <v>0</v>
      </c>
      <c r="E12" s="456">
        <f t="shared" si="8"/>
        <v>0</v>
      </c>
      <c r="F12" s="456">
        <f t="shared" si="9"/>
        <v>0</v>
      </c>
      <c r="G12" s="456">
        <f t="shared" ref="G12:G36" si="11">ROUND((0/365),0)</f>
        <v>0</v>
      </c>
      <c r="H12" s="456"/>
      <c r="I12" s="456">
        <f t="shared" si="4"/>
        <v>1.5068493150684933E-4</v>
      </c>
      <c r="J12" s="456">
        <f t="shared" si="10"/>
        <v>0</v>
      </c>
    </row>
    <row r="13" spans="1:22">
      <c r="A13" s="460">
        <f t="shared" si="2"/>
        <v>42193</v>
      </c>
      <c r="B13" s="456"/>
      <c r="C13" s="456">
        <f t="shared" si="6"/>
        <v>0</v>
      </c>
      <c r="D13" s="456">
        <f t="shared" si="7"/>
        <v>0</v>
      </c>
      <c r="E13" s="456">
        <f t="shared" si="8"/>
        <v>0</v>
      </c>
      <c r="F13" s="456">
        <f t="shared" si="9"/>
        <v>0</v>
      </c>
      <c r="G13" s="456">
        <f t="shared" si="11"/>
        <v>0</v>
      </c>
      <c r="H13" s="456"/>
      <c r="I13" s="456">
        <f t="shared" si="4"/>
        <v>1.5068493150684933E-4</v>
      </c>
      <c r="J13" s="456">
        <f t="shared" si="10"/>
        <v>0</v>
      </c>
    </row>
    <row r="14" spans="1:22">
      <c r="A14" s="460">
        <f t="shared" si="2"/>
        <v>42194</v>
      </c>
      <c r="B14" s="456"/>
      <c r="C14" s="456">
        <f t="shared" si="6"/>
        <v>0</v>
      </c>
      <c r="D14" s="456">
        <f t="shared" si="7"/>
        <v>0</v>
      </c>
      <c r="E14" s="456">
        <f t="shared" si="8"/>
        <v>0</v>
      </c>
      <c r="F14" s="456">
        <f t="shared" si="9"/>
        <v>0</v>
      </c>
      <c r="G14" s="456">
        <f t="shared" si="11"/>
        <v>0</v>
      </c>
      <c r="H14" s="456"/>
      <c r="I14" s="456">
        <f t="shared" si="4"/>
        <v>1.5068493150684933E-4</v>
      </c>
      <c r="J14" s="456">
        <f t="shared" si="10"/>
        <v>0</v>
      </c>
    </row>
    <row r="15" spans="1:22">
      <c r="A15" s="460">
        <f t="shared" si="2"/>
        <v>42195</v>
      </c>
      <c r="B15" s="456"/>
      <c r="C15" s="456">
        <f t="shared" si="6"/>
        <v>0</v>
      </c>
      <c r="D15" s="456">
        <f t="shared" si="7"/>
        <v>0</v>
      </c>
      <c r="E15" s="456">
        <f t="shared" si="8"/>
        <v>0</v>
      </c>
      <c r="F15" s="456">
        <f t="shared" si="9"/>
        <v>0</v>
      </c>
      <c r="G15" s="456">
        <f t="shared" si="11"/>
        <v>0</v>
      </c>
      <c r="H15" s="456"/>
      <c r="I15" s="456">
        <f t="shared" si="4"/>
        <v>1.5068493150684933E-4</v>
      </c>
      <c r="J15" s="456">
        <f t="shared" si="10"/>
        <v>0</v>
      </c>
    </row>
    <row r="16" spans="1:22">
      <c r="A16" s="460">
        <f t="shared" si="2"/>
        <v>42196</v>
      </c>
      <c r="B16" s="456"/>
      <c r="C16" s="456">
        <f t="shared" si="6"/>
        <v>0</v>
      </c>
      <c r="D16" s="456">
        <f t="shared" si="7"/>
        <v>0</v>
      </c>
      <c r="E16" s="456">
        <f t="shared" si="8"/>
        <v>0</v>
      </c>
      <c r="F16" s="456">
        <f t="shared" si="9"/>
        <v>0</v>
      </c>
      <c r="G16" s="456">
        <f t="shared" si="11"/>
        <v>0</v>
      </c>
      <c r="H16" s="456"/>
      <c r="I16" s="456">
        <f t="shared" si="4"/>
        <v>1.5068493150684933E-4</v>
      </c>
      <c r="J16" s="456">
        <f t="shared" si="10"/>
        <v>0</v>
      </c>
    </row>
    <row r="17" spans="1:10">
      <c r="A17" s="460">
        <f t="shared" si="2"/>
        <v>42197</v>
      </c>
      <c r="B17" s="456"/>
      <c r="C17" s="456">
        <f t="shared" si="6"/>
        <v>0</v>
      </c>
      <c r="D17" s="456">
        <f t="shared" si="7"/>
        <v>0</v>
      </c>
      <c r="E17" s="456">
        <f t="shared" si="8"/>
        <v>0</v>
      </c>
      <c r="F17" s="456">
        <f t="shared" si="9"/>
        <v>0</v>
      </c>
      <c r="G17" s="456">
        <f t="shared" si="11"/>
        <v>0</v>
      </c>
      <c r="H17" s="456"/>
      <c r="I17" s="456">
        <f t="shared" si="4"/>
        <v>1.5068493150684933E-4</v>
      </c>
      <c r="J17" s="456">
        <f t="shared" si="10"/>
        <v>0</v>
      </c>
    </row>
    <row r="18" spans="1:10">
      <c r="A18" s="460">
        <f t="shared" si="2"/>
        <v>42198</v>
      </c>
      <c r="B18" s="456"/>
      <c r="C18" s="456">
        <f t="shared" si="6"/>
        <v>0</v>
      </c>
      <c r="D18" s="456">
        <f t="shared" si="7"/>
        <v>0</v>
      </c>
      <c r="E18" s="456">
        <f t="shared" si="8"/>
        <v>0</v>
      </c>
      <c r="F18" s="456">
        <f t="shared" si="9"/>
        <v>0</v>
      </c>
      <c r="G18" s="456">
        <f t="shared" si="11"/>
        <v>0</v>
      </c>
      <c r="H18" s="456"/>
      <c r="I18" s="456">
        <f t="shared" si="4"/>
        <v>1.5068493150684933E-4</v>
      </c>
      <c r="J18" s="456">
        <f t="shared" si="10"/>
        <v>0</v>
      </c>
    </row>
    <row r="19" spans="1:10">
      <c r="A19" s="460">
        <f t="shared" si="2"/>
        <v>42199</v>
      </c>
      <c r="B19" s="456"/>
      <c r="C19" s="456">
        <f t="shared" si="6"/>
        <v>0</v>
      </c>
      <c r="D19" s="456">
        <f t="shared" si="7"/>
        <v>0</v>
      </c>
      <c r="E19" s="456">
        <f t="shared" si="8"/>
        <v>0</v>
      </c>
      <c r="F19" s="456">
        <f t="shared" si="9"/>
        <v>0</v>
      </c>
      <c r="G19" s="456">
        <f t="shared" si="11"/>
        <v>0</v>
      </c>
      <c r="H19" s="456"/>
      <c r="I19" s="456">
        <f t="shared" si="4"/>
        <v>1.5068493150684933E-4</v>
      </c>
      <c r="J19" s="456">
        <f t="shared" si="10"/>
        <v>0</v>
      </c>
    </row>
    <row r="20" spans="1:10">
      <c r="A20" s="460">
        <f t="shared" si="2"/>
        <v>42200</v>
      </c>
      <c r="B20" s="456"/>
      <c r="C20" s="456">
        <f t="shared" si="6"/>
        <v>0</v>
      </c>
      <c r="D20" s="456">
        <f t="shared" si="7"/>
        <v>0</v>
      </c>
      <c r="E20" s="456">
        <f t="shared" si="8"/>
        <v>0</v>
      </c>
      <c r="F20" s="456">
        <f t="shared" si="9"/>
        <v>0</v>
      </c>
      <c r="G20" s="456">
        <f t="shared" si="11"/>
        <v>0</v>
      </c>
      <c r="H20" s="456"/>
      <c r="I20" s="456">
        <f t="shared" si="4"/>
        <v>1.5068493150684933E-4</v>
      </c>
      <c r="J20" s="456">
        <f t="shared" si="10"/>
        <v>0</v>
      </c>
    </row>
    <row r="21" spans="1:10">
      <c r="A21" s="460">
        <f t="shared" si="2"/>
        <v>42201</v>
      </c>
      <c r="B21" s="456"/>
      <c r="C21" s="456">
        <f t="shared" si="6"/>
        <v>0</v>
      </c>
      <c r="D21" s="456">
        <f t="shared" si="7"/>
        <v>0</v>
      </c>
      <c r="E21" s="456">
        <f t="shared" si="8"/>
        <v>0</v>
      </c>
      <c r="F21" s="456">
        <f t="shared" si="9"/>
        <v>0</v>
      </c>
      <c r="G21" s="456">
        <f t="shared" si="11"/>
        <v>0</v>
      </c>
      <c r="H21" s="456"/>
      <c r="I21" s="456">
        <f t="shared" si="4"/>
        <v>1.5068493150684933E-4</v>
      </c>
      <c r="J21" s="456">
        <f t="shared" si="10"/>
        <v>0</v>
      </c>
    </row>
    <row r="22" spans="1:10">
      <c r="A22" s="460">
        <f t="shared" si="2"/>
        <v>42202</v>
      </c>
      <c r="B22" s="456"/>
      <c r="C22" s="456">
        <f t="shared" si="6"/>
        <v>0</v>
      </c>
      <c r="D22" s="456">
        <f t="shared" si="7"/>
        <v>0</v>
      </c>
      <c r="E22" s="456">
        <f t="shared" si="8"/>
        <v>0</v>
      </c>
      <c r="F22" s="456">
        <f t="shared" si="9"/>
        <v>0</v>
      </c>
      <c r="G22" s="456">
        <f t="shared" si="11"/>
        <v>0</v>
      </c>
      <c r="H22" s="456"/>
      <c r="I22" s="456">
        <f t="shared" si="4"/>
        <v>1.5068493150684933E-4</v>
      </c>
      <c r="J22" s="456">
        <f t="shared" si="10"/>
        <v>0</v>
      </c>
    </row>
    <row r="23" spans="1:10">
      <c r="A23" s="460">
        <f t="shared" si="2"/>
        <v>42203</v>
      </c>
      <c r="B23" s="456"/>
      <c r="C23" s="456">
        <f t="shared" si="6"/>
        <v>0</v>
      </c>
      <c r="D23" s="456">
        <f t="shared" si="7"/>
        <v>0</v>
      </c>
      <c r="E23" s="456">
        <f t="shared" si="8"/>
        <v>0</v>
      </c>
      <c r="F23" s="456">
        <f t="shared" si="9"/>
        <v>0</v>
      </c>
      <c r="G23" s="456">
        <f t="shared" si="11"/>
        <v>0</v>
      </c>
      <c r="H23" s="456"/>
      <c r="I23" s="456">
        <f t="shared" si="4"/>
        <v>1.5068493150684933E-4</v>
      </c>
      <c r="J23" s="456">
        <f t="shared" si="10"/>
        <v>0</v>
      </c>
    </row>
    <row r="24" spans="1:10">
      <c r="A24" s="460">
        <f t="shared" si="2"/>
        <v>42204</v>
      </c>
      <c r="B24" s="456"/>
      <c r="C24" s="456">
        <f t="shared" si="6"/>
        <v>0</v>
      </c>
      <c r="D24" s="456">
        <f t="shared" si="7"/>
        <v>0</v>
      </c>
      <c r="E24" s="456">
        <f t="shared" si="8"/>
        <v>0</v>
      </c>
      <c r="F24" s="456">
        <f t="shared" si="9"/>
        <v>0</v>
      </c>
      <c r="G24" s="456">
        <f t="shared" si="11"/>
        <v>0</v>
      </c>
      <c r="H24" s="456"/>
      <c r="I24" s="456">
        <f t="shared" si="4"/>
        <v>1.5068493150684933E-4</v>
      </c>
      <c r="J24" s="456">
        <f t="shared" si="10"/>
        <v>0</v>
      </c>
    </row>
    <row r="25" spans="1:10">
      <c r="A25" s="460">
        <f t="shared" si="2"/>
        <v>42205</v>
      </c>
      <c r="B25" s="456"/>
      <c r="C25" s="456">
        <f t="shared" si="6"/>
        <v>0</v>
      </c>
      <c r="D25" s="456">
        <f t="shared" si="7"/>
        <v>0</v>
      </c>
      <c r="E25" s="456">
        <f t="shared" si="8"/>
        <v>0</v>
      </c>
      <c r="F25" s="456">
        <f t="shared" si="9"/>
        <v>0</v>
      </c>
      <c r="G25" s="456">
        <f t="shared" si="11"/>
        <v>0</v>
      </c>
      <c r="H25" s="456"/>
      <c r="I25" s="456">
        <f t="shared" si="4"/>
        <v>1.5068493150684933E-4</v>
      </c>
      <c r="J25" s="456">
        <f t="shared" si="10"/>
        <v>0</v>
      </c>
    </row>
    <row r="26" spans="1:10">
      <c r="A26" s="460">
        <f t="shared" si="2"/>
        <v>42206</v>
      </c>
      <c r="B26" s="456"/>
      <c r="C26" s="456">
        <f t="shared" si="6"/>
        <v>0</v>
      </c>
      <c r="D26" s="456">
        <f t="shared" si="7"/>
        <v>0</v>
      </c>
      <c r="E26" s="456">
        <f t="shared" si="8"/>
        <v>0</v>
      </c>
      <c r="F26" s="456">
        <f t="shared" si="9"/>
        <v>0</v>
      </c>
      <c r="G26" s="456">
        <f t="shared" si="11"/>
        <v>0</v>
      </c>
      <c r="H26" s="456"/>
      <c r="I26" s="456">
        <f t="shared" si="4"/>
        <v>1.5068493150684933E-4</v>
      </c>
      <c r="J26" s="456">
        <f t="shared" si="10"/>
        <v>0</v>
      </c>
    </row>
    <row r="27" spans="1:10">
      <c r="A27" s="460">
        <f t="shared" si="2"/>
        <v>42207</v>
      </c>
      <c r="B27" s="456"/>
      <c r="C27" s="456">
        <f t="shared" si="6"/>
        <v>0</v>
      </c>
      <c r="D27" s="456">
        <f t="shared" si="7"/>
        <v>0</v>
      </c>
      <c r="E27" s="456">
        <f t="shared" si="8"/>
        <v>0</v>
      </c>
      <c r="F27" s="456">
        <f t="shared" si="9"/>
        <v>0</v>
      </c>
      <c r="G27" s="456">
        <f t="shared" si="11"/>
        <v>0</v>
      </c>
      <c r="H27" s="456"/>
      <c r="I27" s="456">
        <f t="shared" si="4"/>
        <v>1.5068493150684933E-4</v>
      </c>
      <c r="J27" s="456">
        <f t="shared" si="10"/>
        <v>0</v>
      </c>
    </row>
    <row r="28" spans="1:10">
      <c r="A28" s="460">
        <f t="shared" si="2"/>
        <v>42208</v>
      </c>
      <c r="B28" s="456"/>
      <c r="C28" s="456">
        <f t="shared" si="6"/>
        <v>0</v>
      </c>
      <c r="D28" s="456">
        <f t="shared" si="7"/>
        <v>0</v>
      </c>
      <c r="E28" s="456">
        <f t="shared" si="8"/>
        <v>0</v>
      </c>
      <c r="F28" s="456">
        <f t="shared" si="9"/>
        <v>0</v>
      </c>
      <c r="G28" s="456">
        <f t="shared" si="11"/>
        <v>0</v>
      </c>
      <c r="H28" s="456"/>
      <c r="I28" s="456">
        <f t="shared" si="4"/>
        <v>1.5068493150684933E-4</v>
      </c>
      <c r="J28" s="456">
        <f t="shared" si="10"/>
        <v>0</v>
      </c>
    </row>
    <row r="29" spans="1:10">
      <c r="A29" s="460">
        <f t="shared" si="2"/>
        <v>42209</v>
      </c>
      <c r="B29" s="456"/>
      <c r="C29" s="456">
        <f t="shared" si="6"/>
        <v>0</v>
      </c>
      <c r="D29" s="456">
        <f t="shared" si="7"/>
        <v>0</v>
      </c>
      <c r="E29" s="456">
        <f t="shared" si="8"/>
        <v>0</v>
      </c>
      <c r="F29" s="456">
        <f t="shared" si="9"/>
        <v>0</v>
      </c>
      <c r="G29" s="456">
        <f t="shared" si="11"/>
        <v>0</v>
      </c>
      <c r="H29" s="456"/>
      <c r="I29" s="456">
        <f t="shared" si="4"/>
        <v>1.5068493150684933E-4</v>
      </c>
      <c r="J29" s="456">
        <f t="shared" si="10"/>
        <v>0</v>
      </c>
    </row>
    <row r="30" spans="1:10">
      <c r="A30" s="460">
        <f t="shared" si="2"/>
        <v>42210</v>
      </c>
      <c r="B30" s="456"/>
      <c r="C30" s="456">
        <f t="shared" si="6"/>
        <v>0</v>
      </c>
      <c r="D30" s="456">
        <f t="shared" si="7"/>
        <v>0</v>
      </c>
      <c r="E30" s="456">
        <f t="shared" si="8"/>
        <v>0</v>
      </c>
      <c r="F30" s="456">
        <f t="shared" si="9"/>
        <v>0</v>
      </c>
      <c r="G30" s="456">
        <f t="shared" si="11"/>
        <v>0</v>
      </c>
      <c r="H30" s="456"/>
      <c r="I30" s="456">
        <f t="shared" si="4"/>
        <v>1.5068493150684933E-4</v>
      </c>
      <c r="J30" s="456">
        <f t="shared" si="10"/>
        <v>0</v>
      </c>
    </row>
    <row r="31" spans="1:10">
      <c r="A31" s="460">
        <f t="shared" si="2"/>
        <v>42211</v>
      </c>
      <c r="B31" s="456"/>
      <c r="C31" s="456">
        <f t="shared" si="6"/>
        <v>0</v>
      </c>
      <c r="D31" s="456">
        <f t="shared" si="7"/>
        <v>0</v>
      </c>
      <c r="E31" s="456">
        <f t="shared" si="8"/>
        <v>0</v>
      </c>
      <c r="F31" s="456">
        <f t="shared" si="9"/>
        <v>0</v>
      </c>
      <c r="G31" s="456">
        <f t="shared" si="11"/>
        <v>0</v>
      </c>
      <c r="H31" s="456"/>
      <c r="I31" s="456">
        <f t="shared" si="4"/>
        <v>1.5068493150684933E-4</v>
      </c>
      <c r="J31" s="456">
        <f t="shared" si="10"/>
        <v>0</v>
      </c>
    </row>
    <row r="32" spans="1:10">
      <c r="A32" s="460">
        <f t="shared" si="2"/>
        <v>42212</v>
      </c>
      <c r="B32" s="456"/>
      <c r="C32" s="456">
        <f t="shared" si="6"/>
        <v>0</v>
      </c>
      <c r="D32" s="456">
        <f t="shared" si="7"/>
        <v>0</v>
      </c>
      <c r="E32" s="456">
        <f t="shared" si="8"/>
        <v>0</v>
      </c>
      <c r="F32" s="456">
        <f t="shared" si="9"/>
        <v>0</v>
      </c>
      <c r="G32" s="456">
        <f t="shared" si="11"/>
        <v>0</v>
      </c>
      <c r="H32" s="456"/>
      <c r="I32" s="456">
        <f t="shared" si="4"/>
        <v>1.5068493150684933E-4</v>
      </c>
      <c r="J32" s="456">
        <f t="shared" si="10"/>
        <v>0</v>
      </c>
    </row>
    <row r="33" spans="1:12">
      <c r="A33" s="460">
        <f t="shared" si="2"/>
        <v>42213</v>
      </c>
      <c r="B33" s="456"/>
      <c r="C33" s="456">
        <f t="shared" si="6"/>
        <v>0</v>
      </c>
      <c r="D33" s="456">
        <f t="shared" si="7"/>
        <v>0</v>
      </c>
      <c r="E33" s="456">
        <f t="shared" si="8"/>
        <v>0</v>
      </c>
      <c r="F33" s="456">
        <f t="shared" si="9"/>
        <v>0</v>
      </c>
      <c r="G33" s="456">
        <f t="shared" si="11"/>
        <v>0</v>
      </c>
      <c r="H33" s="456"/>
      <c r="I33" s="456">
        <f t="shared" si="4"/>
        <v>1.5068493150684933E-4</v>
      </c>
      <c r="J33" s="456">
        <f t="shared" si="10"/>
        <v>0</v>
      </c>
    </row>
    <row r="34" spans="1:12">
      <c r="A34" s="460">
        <f t="shared" si="2"/>
        <v>42214</v>
      </c>
      <c r="B34" s="456"/>
      <c r="C34" s="456">
        <f t="shared" si="6"/>
        <v>0</v>
      </c>
      <c r="D34" s="456">
        <f t="shared" si="7"/>
        <v>0</v>
      </c>
      <c r="E34" s="456">
        <f t="shared" si="8"/>
        <v>0</v>
      </c>
      <c r="F34" s="456">
        <f t="shared" si="9"/>
        <v>0</v>
      </c>
      <c r="G34" s="456">
        <f t="shared" si="11"/>
        <v>0</v>
      </c>
      <c r="H34" s="456"/>
      <c r="I34" s="456">
        <f t="shared" si="4"/>
        <v>1.5068493150684933E-4</v>
      </c>
      <c r="J34" s="456">
        <f t="shared" si="10"/>
        <v>0</v>
      </c>
    </row>
    <row r="35" spans="1:12">
      <c r="A35" s="460">
        <f t="shared" si="2"/>
        <v>42215</v>
      </c>
      <c r="B35" s="456"/>
      <c r="C35" s="456">
        <f t="shared" si="6"/>
        <v>0</v>
      </c>
      <c r="D35" s="456">
        <f t="shared" si="7"/>
        <v>0</v>
      </c>
      <c r="E35" s="456">
        <f t="shared" si="8"/>
        <v>0</v>
      </c>
      <c r="F35" s="456">
        <f t="shared" si="9"/>
        <v>0</v>
      </c>
      <c r="G35" s="456">
        <f t="shared" si="11"/>
        <v>0</v>
      </c>
      <c r="H35" s="456"/>
      <c r="I35" s="456">
        <f t="shared" si="4"/>
        <v>1.5068493150684933E-4</v>
      </c>
      <c r="J35" s="456">
        <f t="shared" si="10"/>
        <v>0</v>
      </c>
    </row>
    <row r="36" spans="1:12">
      <c r="A36" s="460">
        <f t="shared" si="2"/>
        <v>42216</v>
      </c>
      <c r="B36" s="456"/>
      <c r="C36" s="456">
        <f t="shared" si="6"/>
        <v>0</v>
      </c>
      <c r="D36" s="456">
        <f t="shared" si="7"/>
        <v>0</v>
      </c>
      <c r="E36" s="456">
        <f t="shared" si="8"/>
        <v>0</v>
      </c>
      <c r="F36" s="456">
        <f t="shared" si="9"/>
        <v>0</v>
      </c>
      <c r="G36" s="456">
        <f t="shared" si="11"/>
        <v>0</v>
      </c>
      <c r="H36" s="456"/>
      <c r="I36" s="456">
        <f t="shared" si="4"/>
        <v>1.5068493150684933E-4</v>
      </c>
      <c r="J36" s="456">
        <f t="shared" si="10"/>
        <v>0</v>
      </c>
    </row>
    <row r="38" spans="1:12">
      <c r="A38" s="452" t="s">
        <v>213</v>
      </c>
      <c r="C38" s="461">
        <f>SUM(C6:C37)</f>
        <v>25147</v>
      </c>
      <c r="D38" s="461">
        <f>SUM(D6:D37)</f>
        <v>4278</v>
      </c>
      <c r="E38" s="461">
        <f>SUM(E6:E37)</f>
        <v>4024</v>
      </c>
      <c r="F38" s="461">
        <f>SUM(F6:F37)</f>
        <v>558</v>
      </c>
      <c r="G38" s="461">
        <f>SUM(G6:G37)</f>
        <v>1773.9999999999998</v>
      </c>
      <c r="H38" s="457"/>
      <c r="I38" s="457"/>
      <c r="J38" s="461">
        <f>SUM(J6:J37)</f>
        <v>58453</v>
      </c>
      <c r="K38" s="452">
        <f>27443</f>
        <v>27443</v>
      </c>
      <c r="L38" s="454">
        <f>J38-K38</f>
        <v>31010</v>
      </c>
    </row>
    <row r="40" spans="1:12">
      <c r="A40" s="452" t="s">
        <v>257</v>
      </c>
    </row>
    <row r="41" spans="1:12">
      <c r="B41" s="452" t="s">
        <v>17</v>
      </c>
      <c r="C41" s="452" t="s">
        <v>259</v>
      </c>
      <c r="D41" s="455" t="s">
        <v>260</v>
      </c>
      <c r="E41" s="455" t="s">
        <v>221</v>
      </c>
      <c r="F41" s="455" t="s">
        <v>262</v>
      </c>
      <c r="G41" s="455" t="s">
        <v>261</v>
      </c>
      <c r="H41" s="455" t="s">
        <v>263</v>
      </c>
    </row>
    <row r="42" spans="1:12">
      <c r="A42" s="459">
        <v>42186</v>
      </c>
      <c r="B42" s="456">
        <v>75802568</v>
      </c>
      <c r="C42" s="456">
        <f>ROUND((B42*(1.5%/365)),0)</f>
        <v>3115</v>
      </c>
      <c r="D42" s="456">
        <f t="shared" ref="D42:D72" si="12">ROUND((C42*0.174),0)</f>
        <v>542</v>
      </c>
      <c r="E42" s="456">
        <f t="shared" ref="E42:E72" si="13">ROUND((C42*0.16),0)</f>
        <v>498</v>
      </c>
      <c r="F42" s="456">
        <f>ROUND(((1/30*1%)/365*B42),0)</f>
        <v>69</v>
      </c>
      <c r="G42" s="456">
        <f>ROUND((300000/365),0)/3</f>
        <v>274</v>
      </c>
      <c r="H42" s="456">
        <v>75735900</v>
      </c>
      <c r="I42" s="456">
        <f t="shared" ref="I42:I72" si="14">5.5%/365</f>
        <v>1.5068493150684933E-4</v>
      </c>
      <c r="J42" s="456">
        <f>ROUND((H42*I42),0)</f>
        <v>11412</v>
      </c>
      <c r="K42" s="452">
        <v>75238131.25</v>
      </c>
      <c r="L42" s="453">
        <f>K42*I42*7</f>
        <v>79360.768578767136</v>
      </c>
    </row>
    <row r="43" spans="1:12">
      <c r="A43" s="460">
        <f>A42+1</f>
        <v>42187</v>
      </c>
      <c r="B43" s="456">
        <v>76160631</v>
      </c>
      <c r="C43" s="456">
        <f>ROUND((B43*(1.5%/365)),0)</f>
        <v>3130</v>
      </c>
      <c r="D43" s="456">
        <f>ROUND((C43*0.1624),0)</f>
        <v>508</v>
      </c>
      <c r="E43" s="456">
        <f t="shared" si="13"/>
        <v>501</v>
      </c>
      <c r="F43" s="456">
        <f>ROUND(((1/30*1%)/365*B43),0)</f>
        <v>70</v>
      </c>
      <c r="G43" s="456">
        <f>ROUND((300000/365),0)/3</f>
        <v>274</v>
      </c>
      <c r="H43" s="456">
        <v>75735900</v>
      </c>
      <c r="I43" s="456">
        <f t="shared" si="14"/>
        <v>1.5068493150684933E-4</v>
      </c>
      <c r="J43" s="456">
        <f>ROUND((H43*I43),0)</f>
        <v>11412</v>
      </c>
      <c r="K43" s="452">
        <v>75238131.25</v>
      </c>
      <c r="L43" s="453">
        <f t="shared" ref="L43:L49" si="15">K43*I43</f>
        <v>11337.25265410959</v>
      </c>
    </row>
    <row r="44" spans="1:12">
      <c r="A44" s="460">
        <f t="shared" ref="A44:A72" si="16">A43+1</f>
        <v>42188</v>
      </c>
      <c r="B44" s="456">
        <v>76177498</v>
      </c>
      <c r="C44" s="456">
        <f>ROUND((B44*(1.5%/365)),0)</f>
        <v>3131</v>
      </c>
      <c r="D44" s="456">
        <f>ROUND((C44*0.1624),0)</f>
        <v>508</v>
      </c>
      <c r="E44" s="456">
        <f t="shared" ref="E44" si="17">ROUND((C44*0.16),0)</f>
        <v>501</v>
      </c>
      <c r="F44" s="456">
        <f>ROUND(((1/30*1%)/365*B44),0)</f>
        <v>70</v>
      </c>
      <c r="G44" s="456">
        <f>ROUND((300000/365),0)/3</f>
        <v>274</v>
      </c>
      <c r="H44" s="456">
        <v>75590131.25</v>
      </c>
      <c r="I44" s="456">
        <f t="shared" si="14"/>
        <v>1.5068493150684933E-4</v>
      </c>
      <c r="J44" s="456">
        <f>ROUND((H44*I44),0)</f>
        <v>11390</v>
      </c>
      <c r="K44" s="452">
        <v>75238131.25</v>
      </c>
      <c r="L44" s="453">
        <f t="shared" si="15"/>
        <v>11337.25265410959</v>
      </c>
    </row>
    <row r="45" spans="1:12">
      <c r="A45" s="460">
        <f t="shared" si="16"/>
        <v>42189</v>
      </c>
      <c r="B45" s="456">
        <v>76177498</v>
      </c>
      <c r="C45" s="456">
        <f>ROUND((B45*(1.5%/365)),0)</f>
        <v>3131</v>
      </c>
      <c r="D45" s="456">
        <f t="shared" si="12"/>
        <v>545</v>
      </c>
      <c r="E45" s="456">
        <f t="shared" si="13"/>
        <v>501</v>
      </c>
      <c r="F45" s="456">
        <f>ROUND(((1/30*1%)/365*B45),0)</f>
        <v>70</v>
      </c>
      <c r="G45" s="456">
        <f t="shared" ref="G45:G72" si="18">ROUND((0/365),0)</f>
        <v>0</v>
      </c>
      <c r="H45" s="352">
        <v>75590131.25</v>
      </c>
      <c r="I45" s="456">
        <f t="shared" si="14"/>
        <v>1.5068493150684933E-4</v>
      </c>
      <c r="J45" s="456">
        <f>ROUND((H45*I45),0)</f>
        <v>11390</v>
      </c>
      <c r="K45" s="452">
        <v>75238131.25</v>
      </c>
      <c r="L45" s="453">
        <f t="shared" si="15"/>
        <v>11337.25265410959</v>
      </c>
    </row>
    <row r="46" spans="1:12">
      <c r="A46" s="460">
        <f t="shared" si="16"/>
        <v>42190</v>
      </c>
      <c r="B46" s="456">
        <v>76177498</v>
      </c>
      <c r="C46" s="456">
        <f>ROUND((B46*(1.5%/365)),0)</f>
        <v>3131</v>
      </c>
      <c r="D46" s="456">
        <f t="shared" si="12"/>
        <v>545</v>
      </c>
      <c r="E46" s="456">
        <f t="shared" si="13"/>
        <v>501</v>
      </c>
      <c r="F46" s="456">
        <f>ROUND(((1/30*1%)/365*B46),0)</f>
        <v>70</v>
      </c>
      <c r="G46" s="456">
        <f t="shared" si="18"/>
        <v>0</v>
      </c>
      <c r="H46" s="352">
        <v>75590131.25</v>
      </c>
      <c r="I46" s="456">
        <f t="shared" si="14"/>
        <v>1.5068493150684933E-4</v>
      </c>
      <c r="J46" s="456">
        <f>ROUND((H46*I46),0)</f>
        <v>11390</v>
      </c>
      <c r="K46" s="452">
        <v>75238131.25</v>
      </c>
      <c r="L46" s="453">
        <f t="shared" si="15"/>
        <v>11337.25265410959</v>
      </c>
    </row>
    <row r="47" spans="1:12">
      <c r="A47" s="460">
        <f t="shared" si="16"/>
        <v>42191</v>
      </c>
      <c r="B47" s="456">
        <v>76198405</v>
      </c>
      <c r="C47" s="456">
        <f t="shared" ref="C47:C72" si="19">ROUND((B47*(1.5%/365)),0)</f>
        <v>3131</v>
      </c>
      <c r="D47" s="456">
        <f t="shared" si="12"/>
        <v>545</v>
      </c>
      <c r="E47" s="456">
        <f t="shared" si="13"/>
        <v>501</v>
      </c>
      <c r="F47" s="456">
        <f t="shared" ref="F47:F72" si="20">ROUND(((1/30*1%)/365*B47),0)</f>
        <v>70</v>
      </c>
      <c r="G47" s="456">
        <v>849</v>
      </c>
      <c r="H47" s="352">
        <v>75590131.25</v>
      </c>
      <c r="I47" s="456">
        <f t="shared" si="14"/>
        <v>1.5068493150684933E-4</v>
      </c>
      <c r="J47" s="456">
        <f t="shared" ref="J47:J72" si="21">ROUND((H47*I47),0)</f>
        <v>11390</v>
      </c>
      <c r="K47" s="452">
        <v>75238131.25</v>
      </c>
      <c r="L47" s="453">
        <f t="shared" si="15"/>
        <v>11337.25265410959</v>
      </c>
    </row>
    <row r="48" spans="1:12">
      <c r="A48" s="460">
        <f t="shared" si="16"/>
        <v>42192</v>
      </c>
      <c r="B48" s="456"/>
      <c r="C48" s="456">
        <f t="shared" si="19"/>
        <v>0</v>
      </c>
      <c r="D48" s="456">
        <f t="shared" si="12"/>
        <v>0</v>
      </c>
      <c r="E48" s="456">
        <f t="shared" si="13"/>
        <v>0</v>
      </c>
      <c r="F48" s="456">
        <f t="shared" si="20"/>
        <v>0</v>
      </c>
      <c r="G48" s="456">
        <f t="shared" si="18"/>
        <v>0</v>
      </c>
      <c r="H48" s="456"/>
      <c r="I48" s="456">
        <f t="shared" si="14"/>
        <v>1.5068493150684933E-4</v>
      </c>
      <c r="J48" s="456">
        <f t="shared" si="21"/>
        <v>0</v>
      </c>
      <c r="K48" s="452">
        <v>75238131.25</v>
      </c>
      <c r="L48" s="453">
        <f t="shared" si="15"/>
        <v>11337.25265410959</v>
      </c>
    </row>
    <row r="49" spans="1:12">
      <c r="A49" s="460">
        <f t="shared" si="16"/>
        <v>42193</v>
      </c>
      <c r="B49" s="456"/>
      <c r="C49" s="456">
        <f t="shared" si="19"/>
        <v>0</v>
      </c>
      <c r="D49" s="456">
        <f t="shared" si="12"/>
        <v>0</v>
      </c>
      <c r="E49" s="456">
        <f t="shared" si="13"/>
        <v>0</v>
      </c>
      <c r="F49" s="456">
        <f t="shared" si="20"/>
        <v>0</v>
      </c>
      <c r="G49" s="456">
        <f t="shared" si="18"/>
        <v>0</v>
      </c>
      <c r="H49" s="456"/>
      <c r="I49" s="456">
        <f t="shared" si="14"/>
        <v>1.5068493150684933E-4</v>
      </c>
      <c r="J49" s="456">
        <f t="shared" si="21"/>
        <v>0</v>
      </c>
      <c r="K49" s="452">
        <v>75590131.25</v>
      </c>
      <c r="L49" s="453">
        <f t="shared" si="15"/>
        <v>11390.293750000001</v>
      </c>
    </row>
    <row r="50" spans="1:12">
      <c r="A50" s="460">
        <f t="shared" si="16"/>
        <v>42194</v>
      </c>
      <c r="B50" s="456"/>
      <c r="C50" s="456">
        <f t="shared" si="19"/>
        <v>0</v>
      </c>
      <c r="D50" s="456">
        <f t="shared" si="12"/>
        <v>0</v>
      </c>
      <c r="E50" s="456">
        <f t="shared" si="13"/>
        <v>0</v>
      </c>
      <c r="F50" s="456">
        <f t="shared" si="20"/>
        <v>0</v>
      </c>
      <c r="G50" s="456">
        <f t="shared" si="18"/>
        <v>0</v>
      </c>
      <c r="H50" s="456"/>
      <c r="I50" s="456">
        <f t="shared" si="14"/>
        <v>1.5068493150684933E-4</v>
      </c>
      <c r="J50" s="456">
        <f t="shared" si="21"/>
        <v>0</v>
      </c>
      <c r="K50" s="452">
        <v>75590131.25</v>
      </c>
      <c r="L50" s="453">
        <f t="shared" ref="L50" si="22">K50*I50</f>
        <v>11390.293750000001</v>
      </c>
    </row>
    <row r="51" spans="1:12">
      <c r="A51" s="460">
        <f t="shared" si="16"/>
        <v>42195</v>
      </c>
      <c r="B51" s="456"/>
      <c r="C51" s="456">
        <f t="shared" si="19"/>
        <v>0</v>
      </c>
      <c r="D51" s="456">
        <f t="shared" si="12"/>
        <v>0</v>
      </c>
      <c r="E51" s="456">
        <f t="shared" si="13"/>
        <v>0</v>
      </c>
      <c r="F51" s="456">
        <f t="shared" si="20"/>
        <v>0</v>
      </c>
      <c r="G51" s="456">
        <f t="shared" si="18"/>
        <v>0</v>
      </c>
      <c r="H51" s="456"/>
      <c r="I51" s="456">
        <f t="shared" si="14"/>
        <v>1.5068493150684933E-4</v>
      </c>
      <c r="J51" s="456">
        <f t="shared" si="21"/>
        <v>0</v>
      </c>
      <c r="L51" s="453"/>
    </row>
    <row r="52" spans="1:12">
      <c r="A52" s="460">
        <f t="shared" si="16"/>
        <v>42196</v>
      </c>
      <c r="B52" s="456"/>
      <c r="C52" s="456">
        <f t="shared" si="19"/>
        <v>0</v>
      </c>
      <c r="D52" s="456">
        <f t="shared" si="12"/>
        <v>0</v>
      </c>
      <c r="E52" s="456">
        <f t="shared" si="13"/>
        <v>0</v>
      </c>
      <c r="F52" s="456">
        <f t="shared" si="20"/>
        <v>0</v>
      </c>
      <c r="G52" s="456">
        <f t="shared" si="18"/>
        <v>0</v>
      </c>
      <c r="H52" s="456"/>
      <c r="I52" s="456">
        <f t="shared" si="14"/>
        <v>1.5068493150684933E-4</v>
      </c>
      <c r="J52" s="456">
        <f t="shared" si="21"/>
        <v>0</v>
      </c>
      <c r="L52" s="453"/>
    </row>
    <row r="53" spans="1:12">
      <c r="A53" s="460">
        <f t="shared" si="16"/>
        <v>42197</v>
      </c>
      <c r="B53" s="456"/>
      <c r="C53" s="456">
        <f t="shared" si="19"/>
        <v>0</v>
      </c>
      <c r="D53" s="456">
        <f t="shared" si="12"/>
        <v>0</v>
      </c>
      <c r="E53" s="456">
        <f t="shared" si="13"/>
        <v>0</v>
      </c>
      <c r="F53" s="456">
        <f t="shared" si="20"/>
        <v>0</v>
      </c>
      <c r="G53" s="456">
        <f t="shared" si="18"/>
        <v>0</v>
      </c>
      <c r="H53" s="456"/>
      <c r="I53" s="456">
        <f t="shared" si="14"/>
        <v>1.5068493150684933E-4</v>
      </c>
      <c r="J53" s="456">
        <f t="shared" si="21"/>
        <v>0</v>
      </c>
      <c r="L53" s="453"/>
    </row>
    <row r="54" spans="1:12">
      <c r="A54" s="460">
        <f t="shared" si="16"/>
        <v>42198</v>
      </c>
      <c r="B54" s="456"/>
      <c r="C54" s="456">
        <f t="shared" si="19"/>
        <v>0</v>
      </c>
      <c r="D54" s="456">
        <f t="shared" si="12"/>
        <v>0</v>
      </c>
      <c r="E54" s="456">
        <f t="shared" si="13"/>
        <v>0</v>
      </c>
      <c r="F54" s="456">
        <f t="shared" si="20"/>
        <v>0</v>
      </c>
      <c r="G54" s="456">
        <f t="shared" si="18"/>
        <v>0</v>
      </c>
      <c r="H54" s="456"/>
      <c r="I54" s="456">
        <f t="shared" si="14"/>
        <v>1.5068493150684933E-4</v>
      </c>
      <c r="J54" s="456">
        <f t="shared" si="21"/>
        <v>0</v>
      </c>
      <c r="L54" s="453"/>
    </row>
    <row r="55" spans="1:12">
      <c r="A55" s="460">
        <f t="shared" si="16"/>
        <v>42199</v>
      </c>
      <c r="B55" s="456"/>
      <c r="C55" s="456">
        <f t="shared" si="19"/>
        <v>0</v>
      </c>
      <c r="D55" s="456">
        <f t="shared" si="12"/>
        <v>0</v>
      </c>
      <c r="E55" s="456">
        <f t="shared" si="13"/>
        <v>0</v>
      </c>
      <c r="F55" s="456">
        <f t="shared" si="20"/>
        <v>0</v>
      </c>
      <c r="G55" s="456">
        <f t="shared" si="18"/>
        <v>0</v>
      </c>
      <c r="H55" s="456"/>
      <c r="I55" s="456">
        <f t="shared" si="14"/>
        <v>1.5068493150684933E-4</v>
      </c>
      <c r="J55" s="456">
        <f t="shared" si="21"/>
        <v>0</v>
      </c>
      <c r="L55" s="453"/>
    </row>
    <row r="56" spans="1:12">
      <c r="A56" s="460">
        <f t="shared" si="16"/>
        <v>42200</v>
      </c>
      <c r="B56" s="456"/>
      <c r="C56" s="456">
        <f t="shared" si="19"/>
        <v>0</v>
      </c>
      <c r="D56" s="456">
        <f t="shared" si="12"/>
        <v>0</v>
      </c>
      <c r="E56" s="456">
        <f t="shared" si="13"/>
        <v>0</v>
      </c>
      <c r="F56" s="456">
        <f t="shared" si="20"/>
        <v>0</v>
      </c>
      <c r="G56" s="456">
        <f t="shared" si="18"/>
        <v>0</v>
      </c>
      <c r="H56" s="456"/>
      <c r="I56" s="456">
        <f t="shared" si="14"/>
        <v>1.5068493150684933E-4</v>
      </c>
      <c r="J56" s="456">
        <f t="shared" si="21"/>
        <v>0</v>
      </c>
      <c r="L56" s="453"/>
    </row>
    <row r="57" spans="1:12">
      <c r="A57" s="460">
        <f t="shared" si="16"/>
        <v>42201</v>
      </c>
      <c r="B57" s="456"/>
      <c r="C57" s="456">
        <f t="shared" si="19"/>
        <v>0</v>
      </c>
      <c r="D57" s="456">
        <f t="shared" si="12"/>
        <v>0</v>
      </c>
      <c r="E57" s="456">
        <f t="shared" si="13"/>
        <v>0</v>
      </c>
      <c r="F57" s="456">
        <f t="shared" si="20"/>
        <v>0</v>
      </c>
      <c r="G57" s="456">
        <f t="shared" si="18"/>
        <v>0</v>
      </c>
      <c r="H57" s="456"/>
      <c r="I57" s="456">
        <f t="shared" si="14"/>
        <v>1.5068493150684933E-4</v>
      </c>
      <c r="J57" s="456">
        <f t="shared" si="21"/>
        <v>0</v>
      </c>
      <c r="L57" s="453"/>
    </row>
    <row r="58" spans="1:12">
      <c r="A58" s="460">
        <f t="shared" si="16"/>
        <v>42202</v>
      </c>
      <c r="B58" s="456"/>
      <c r="C58" s="456">
        <f t="shared" si="19"/>
        <v>0</v>
      </c>
      <c r="D58" s="456">
        <f t="shared" si="12"/>
        <v>0</v>
      </c>
      <c r="E58" s="456">
        <f t="shared" si="13"/>
        <v>0</v>
      </c>
      <c r="F58" s="456">
        <f t="shared" si="20"/>
        <v>0</v>
      </c>
      <c r="G58" s="456">
        <f t="shared" si="18"/>
        <v>0</v>
      </c>
      <c r="H58" s="456"/>
      <c r="I58" s="456">
        <f t="shared" si="14"/>
        <v>1.5068493150684933E-4</v>
      </c>
      <c r="J58" s="456">
        <f t="shared" si="21"/>
        <v>0</v>
      </c>
      <c r="L58" s="453"/>
    </row>
    <row r="59" spans="1:12">
      <c r="A59" s="460">
        <f t="shared" si="16"/>
        <v>42203</v>
      </c>
      <c r="B59" s="456"/>
      <c r="C59" s="456">
        <f t="shared" si="19"/>
        <v>0</v>
      </c>
      <c r="D59" s="456">
        <f t="shared" si="12"/>
        <v>0</v>
      </c>
      <c r="E59" s="456">
        <f t="shared" si="13"/>
        <v>0</v>
      </c>
      <c r="F59" s="456">
        <f t="shared" si="20"/>
        <v>0</v>
      </c>
      <c r="G59" s="456">
        <f t="shared" si="18"/>
        <v>0</v>
      </c>
      <c r="H59" s="456"/>
      <c r="I59" s="456">
        <f t="shared" si="14"/>
        <v>1.5068493150684933E-4</v>
      </c>
      <c r="J59" s="456">
        <f t="shared" si="21"/>
        <v>0</v>
      </c>
      <c r="L59" s="453"/>
    </row>
    <row r="60" spans="1:12">
      <c r="A60" s="460">
        <f t="shared" si="16"/>
        <v>42204</v>
      </c>
      <c r="B60" s="456"/>
      <c r="C60" s="456">
        <f t="shared" si="19"/>
        <v>0</v>
      </c>
      <c r="D60" s="456">
        <f t="shared" si="12"/>
        <v>0</v>
      </c>
      <c r="E60" s="456">
        <f t="shared" si="13"/>
        <v>0</v>
      </c>
      <c r="F60" s="456">
        <f t="shared" si="20"/>
        <v>0</v>
      </c>
      <c r="G60" s="456">
        <f t="shared" si="18"/>
        <v>0</v>
      </c>
      <c r="H60" s="456"/>
      <c r="I60" s="456">
        <f t="shared" si="14"/>
        <v>1.5068493150684933E-4</v>
      </c>
      <c r="J60" s="456">
        <f t="shared" si="21"/>
        <v>0</v>
      </c>
      <c r="L60" s="453"/>
    </row>
    <row r="61" spans="1:12">
      <c r="A61" s="460">
        <f t="shared" si="16"/>
        <v>42205</v>
      </c>
      <c r="B61" s="456"/>
      <c r="C61" s="456">
        <f t="shared" si="19"/>
        <v>0</v>
      </c>
      <c r="D61" s="456">
        <f t="shared" si="12"/>
        <v>0</v>
      </c>
      <c r="E61" s="456">
        <f t="shared" si="13"/>
        <v>0</v>
      </c>
      <c r="F61" s="456">
        <f t="shared" si="20"/>
        <v>0</v>
      </c>
      <c r="G61" s="456">
        <f t="shared" si="18"/>
        <v>0</v>
      </c>
      <c r="H61" s="456"/>
      <c r="I61" s="456">
        <f t="shared" si="14"/>
        <v>1.5068493150684933E-4</v>
      </c>
      <c r="J61" s="456">
        <f t="shared" si="21"/>
        <v>0</v>
      </c>
      <c r="L61" s="453"/>
    </row>
    <row r="62" spans="1:12">
      <c r="A62" s="460">
        <f t="shared" si="16"/>
        <v>42206</v>
      </c>
      <c r="B62" s="456"/>
      <c r="C62" s="456">
        <f t="shared" si="19"/>
        <v>0</v>
      </c>
      <c r="D62" s="456">
        <f t="shared" si="12"/>
        <v>0</v>
      </c>
      <c r="E62" s="456">
        <f t="shared" si="13"/>
        <v>0</v>
      </c>
      <c r="F62" s="456">
        <f t="shared" si="20"/>
        <v>0</v>
      </c>
      <c r="G62" s="456">
        <f t="shared" si="18"/>
        <v>0</v>
      </c>
      <c r="H62" s="456"/>
      <c r="I62" s="456">
        <f t="shared" si="14"/>
        <v>1.5068493150684933E-4</v>
      </c>
      <c r="J62" s="456">
        <f t="shared" si="21"/>
        <v>0</v>
      </c>
      <c r="L62" s="453"/>
    </row>
    <row r="63" spans="1:12">
      <c r="A63" s="460">
        <f t="shared" si="16"/>
        <v>42207</v>
      </c>
      <c r="B63" s="456"/>
      <c r="C63" s="456">
        <f t="shared" si="19"/>
        <v>0</v>
      </c>
      <c r="D63" s="456">
        <f t="shared" si="12"/>
        <v>0</v>
      </c>
      <c r="E63" s="456">
        <f t="shared" si="13"/>
        <v>0</v>
      </c>
      <c r="F63" s="456">
        <f t="shared" si="20"/>
        <v>0</v>
      </c>
      <c r="G63" s="456">
        <f t="shared" si="18"/>
        <v>0</v>
      </c>
      <c r="H63" s="456"/>
      <c r="I63" s="456">
        <f t="shared" si="14"/>
        <v>1.5068493150684933E-4</v>
      </c>
      <c r="J63" s="456">
        <f t="shared" si="21"/>
        <v>0</v>
      </c>
      <c r="L63" s="453"/>
    </row>
    <row r="64" spans="1:12">
      <c r="A64" s="460">
        <f t="shared" si="16"/>
        <v>42208</v>
      </c>
      <c r="B64" s="456"/>
      <c r="C64" s="456">
        <f t="shared" si="19"/>
        <v>0</v>
      </c>
      <c r="D64" s="456">
        <f t="shared" si="12"/>
        <v>0</v>
      </c>
      <c r="E64" s="456">
        <f t="shared" si="13"/>
        <v>0</v>
      </c>
      <c r="F64" s="456">
        <f t="shared" si="20"/>
        <v>0</v>
      </c>
      <c r="G64" s="456">
        <f t="shared" si="18"/>
        <v>0</v>
      </c>
      <c r="H64" s="456"/>
      <c r="I64" s="456">
        <f t="shared" si="14"/>
        <v>1.5068493150684933E-4</v>
      </c>
      <c r="J64" s="456">
        <f t="shared" si="21"/>
        <v>0</v>
      </c>
      <c r="L64" s="453"/>
    </row>
    <row r="65" spans="1:12">
      <c r="A65" s="460">
        <f t="shared" si="16"/>
        <v>42209</v>
      </c>
      <c r="B65" s="456"/>
      <c r="C65" s="456">
        <f t="shared" si="19"/>
        <v>0</v>
      </c>
      <c r="D65" s="456">
        <f t="shared" si="12"/>
        <v>0</v>
      </c>
      <c r="E65" s="456">
        <f t="shared" si="13"/>
        <v>0</v>
      </c>
      <c r="F65" s="456">
        <f t="shared" si="20"/>
        <v>0</v>
      </c>
      <c r="G65" s="456">
        <f t="shared" si="18"/>
        <v>0</v>
      </c>
      <c r="H65" s="456"/>
      <c r="I65" s="456">
        <f t="shared" si="14"/>
        <v>1.5068493150684933E-4</v>
      </c>
      <c r="J65" s="456">
        <f t="shared" si="21"/>
        <v>0</v>
      </c>
      <c r="L65" s="453"/>
    </row>
    <row r="66" spans="1:12">
      <c r="A66" s="460">
        <f t="shared" si="16"/>
        <v>42210</v>
      </c>
      <c r="B66" s="456"/>
      <c r="C66" s="456">
        <f t="shared" si="19"/>
        <v>0</v>
      </c>
      <c r="D66" s="456">
        <f t="shared" si="12"/>
        <v>0</v>
      </c>
      <c r="E66" s="456">
        <f t="shared" si="13"/>
        <v>0</v>
      </c>
      <c r="F66" s="456">
        <f t="shared" si="20"/>
        <v>0</v>
      </c>
      <c r="G66" s="456">
        <f t="shared" si="18"/>
        <v>0</v>
      </c>
      <c r="H66" s="456"/>
      <c r="I66" s="456">
        <f t="shared" si="14"/>
        <v>1.5068493150684933E-4</v>
      </c>
      <c r="J66" s="456">
        <f t="shared" si="21"/>
        <v>0</v>
      </c>
      <c r="L66" s="453"/>
    </row>
    <row r="67" spans="1:12">
      <c r="A67" s="460">
        <f t="shared" si="16"/>
        <v>42211</v>
      </c>
      <c r="B67" s="456"/>
      <c r="C67" s="456">
        <f t="shared" si="19"/>
        <v>0</v>
      </c>
      <c r="D67" s="456">
        <f t="shared" si="12"/>
        <v>0</v>
      </c>
      <c r="E67" s="456">
        <f t="shared" si="13"/>
        <v>0</v>
      </c>
      <c r="F67" s="456">
        <f t="shared" si="20"/>
        <v>0</v>
      </c>
      <c r="G67" s="456">
        <f t="shared" si="18"/>
        <v>0</v>
      </c>
      <c r="H67" s="456"/>
      <c r="I67" s="456">
        <f t="shared" si="14"/>
        <v>1.5068493150684933E-4</v>
      </c>
      <c r="J67" s="456">
        <f t="shared" si="21"/>
        <v>0</v>
      </c>
      <c r="L67" s="453"/>
    </row>
    <row r="68" spans="1:12">
      <c r="A68" s="460">
        <f t="shared" si="16"/>
        <v>42212</v>
      </c>
      <c r="B68" s="456"/>
      <c r="C68" s="456">
        <f t="shared" si="19"/>
        <v>0</v>
      </c>
      <c r="D68" s="456">
        <f t="shared" si="12"/>
        <v>0</v>
      </c>
      <c r="E68" s="456">
        <f t="shared" si="13"/>
        <v>0</v>
      </c>
      <c r="F68" s="456">
        <f t="shared" si="20"/>
        <v>0</v>
      </c>
      <c r="G68" s="456">
        <f t="shared" si="18"/>
        <v>0</v>
      </c>
      <c r="H68" s="456"/>
      <c r="I68" s="456">
        <f t="shared" si="14"/>
        <v>1.5068493150684933E-4</v>
      </c>
      <c r="J68" s="456">
        <f t="shared" si="21"/>
        <v>0</v>
      </c>
      <c r="L68" s="453"/>
    </row>
    <row r="69" spans="1:12">
      <c r="A69" s="460">
        <f t="shared" si="16"/>
        <v>42213</v>
      </c>
      <c r="B69" s="456"/>
      <c r="C69" s="456">
        <f t="shared" si="19"/>
        <v>0</v>
      </c>
      <c r="D69" s="456">
        <f t="shared" si="12"/>
        <v>0</v>
      </c>
      <c r="E69" s="456">
        <f t="shared" si="13"/>
        <v>0</v>
      </c>
      <c r="F69" s="456">
        <f t="shared" si="20"/>
        <v>0</v>
      </c>
      <c r="G69" s="456">
        <f t="shared" si="18"/>
        <v>0</v>
      </c>
      <c r="H69" s="456"/>
      <c r="I69" s="456">
        <f t="shared" si="14"/>
        <v>1.5068493150684933E-4</v>
      </c>
      <c r="J69" s="456">
        <f t="shared" si="21"/>
        <v>0</v>
      </c>
      <c r="L69" s="453"/>
    </row>
    <row r="70" spans="1:12">
      <c r="A70" s="460">
        <f t="shared" si="16"/>
        <v>42214</v>
      </c>
      <c r="B70" s="456"/>
      <c r="C70" s="456">
        <f t="shared" si="19"/>
        <v>0</v>
      </c>
      <c r="D70" s="456">
        <f t="shared" si="12"/>
        <v>0</v>
      </c>
      <c r="E70" s="456">
        <f t="shared" si="13"/>
        <v>0</v>
      </c>
      <c r="F70" s="456">
        <f t="shared" si="20"/>
        <v>0</v>
      </c>
      <c r="G70" s="456">
        <f t="shared" si="18"/>
        <v>0</v>
      </c>
      <c r="H70" s="456"/>
      <c r="I70" s="456">
        <f t="shared" si="14"/>
        <v>1.5068493150684933E-4</v>
      </c>
      <c r="J70" s="456">
        <f t="shared" si="21"/>
        <v>0</v>
      </c>
      <c r="L70" s="453"/>
    </row>
    <row r="71" spans="1:12">
      <c r="A71" s="460">
        <f t="shared" si="16"/>
        <v>42215</v>
      </c>
      <c r="B71" s="456"/>
      <c r="C71" s="456">
        <f t="shared" si="19"/>
        <v>0</v>
      </c>
      <c r="D71" s="456">
        <f t="shared" si="12"/>
        <v>0</v>
      </c>
      <c r="E71" s="456">
        <f t="shared" si="13"/>
        <v>0</v>
      </c>
      <c r="F71" s="456">
        <f t="shared" si="20"/>
        <v>0</v>
      </c>
      <c r="G71" s="456">
        <f t="shared" si="18"/>
        <v>0</v>
      </c>
      <c r="H71" s="456"/>
      <c r="I71" s="456">
        <f t="shared" si="14"/>
        <v>1.5068493150684933E-4</v>
      </c>
      <c r="J71" s="456">
        <f t="shared" si="21"/>
        <v>0</v>
      </c>
      <c r="L71" s="453"/>
    </row>
    <row r="72" spans="1:12">
      <c r="A72" s="460">
        <f t="shared" si="16"/>
        <v>42216</v>
      </c>
      <c r="B72" s="456"/>
      <c r="C72" s="456">
        <f t="shared" si="19"/>
        <v>0</v>
      </c>
      <c r="D72" s="456">
        <f t="shared" si="12"/>
        <v>0</v>
      </c>
      <c r="E72" s="456">
        <f t="shared" si="13"/>
        <v>0</v>
      </c>
      <c r="F72" s="456">
        <f t="shared" si="20"/>
        <v>0</v>
      </c>
      <c r="G72" s="456">
        <f t="shared" si="18"/>
        <v>0</v>
      </c>
      <c r="H72" s="456"/>
      <c r="I72" s="456">
        <f t="shared" si="14"/>
        <v>1.5068493150684933E-4</v>
      </c>
      <c r="J72" s="456">
        <f t="shared" si="21"/>
        <v>0</v>
      </c>
      <c r="L72" s="453"/>
    </row>
    <row r="73" spans="1:12">
      <c r="B73" s="456"/>
      <c r="C73" s="456"/>
      <c r="D73" s="456"/>
      <c r="E73" s="456"/>
      <c r="F73" s="456"/>
      <c r="G73" s="456"/>
      <c r="H73" s="456"/>
      <c r="I73" s="456"/>
      <c r="J73" s="456"/>
    </row>
    <row r="74" spans="1:12">
      <c r="A74" s="452" t="s">
        <v>213</v>
      </c>
      <c r="B74" s="456"/>
      <c r="C74" s="458">
        <f>SUM(C42:C73)</f>
        <v>18769</v>
      </c>
      <c r="D74" s="458">
        <f>SUM(D42:D73)</f>
        <v>3193</v>
      </c>
      <c r="E74" s="458">
        <f>SUM(E42:E73)</f>
        <v>3003</v>
      </c>
      <c r="F74" s="458">
        <f>SUM(F42:F73)</f>
        <v>419</v>
      </c>
      <c r="G74" s="458">
        <f>SUM(G42:G73)</f>
        <v>1671</v>
      </c>
      <c r="H74" s="458"/>
      <c r="I74" s="458"/>
      <c r="J74" s="458">
        <f>SUM(J42:J73)</f>
        <v>68384</v>
      </c>
      <c r="K74" s="452">
        <f>34214</f>
        <v>34214</v>
      </c>
      <c r="L74" s="453">
        <f>SUM(L42:L73)</f>
        <v>170164.87200342468</v>
      </c>
    </row>
    <row r="75" spans="1:12">
      <c r="K75" s="454">
        <f>J74-K74</f>
        <v>34170</v>
      </c>
      <c r="L75" s="453">
        <f>L74-J74</f>
        <v>101780.87200342468</v>
      </c>
    </row>
    <row r="76" spans="1:12">
      <c r="J76" s="454"/>
    </row>
    <row r="77" spans="1:12">
      <c r="A77" s="452" t="s">
        <v>258</v>
      </c>
    </row>
    <row r="78" spans="1:12">
      <c r="B78" s="452" t="s">
        <v>17</v>
      </c>
      <c r="C78" s="452" t="s">
        <v>259</v>
      </c>
      <c r="D78" s="455" t="s">
        <v>260</v>
      </c>
      <c r="E78" s="455" t="s">
        <v>221</v>
      </c>
      <c r="F78" s="455" t="s">
        <v>262</v>
      </c>
      <c r="G78" s="455" t="s">
        <v>261</v>
      </c>
      <c r="H78" s="455" t="s">
        <v>263</v>
      </c>
    </row>
    <row r="79" spans="1:12">
      <c r="A79" s="459">
        <v>42186</v>
      </c>
      <c r="B79" s="456">
        <v>78635592</v>
      </c>
      <c r="C79" s="456">
        <f>ROUND((B79*(1.5%/365)),0)</f>
        <v>3232</v>
      </c>
      <c r="D79" s="456">
        <f t="shared" ref="D79:D109" si="23">ROUND((C79*0.174),0)</f>
        <v>562</v>
      </c>
      <c r="E79" s="456">
        <f t="shared" ref="E79:E109" si="24">ROUND((C79*0.16),0)</f>
        <v>517</v>
      </c>
      <c r="F79" s="456">
        <f>ROUND(((1/30*1%)/365*B79),0)</f>
        <v>72</v>
      </c>
      <c r="G79" s="456">
        <f>ROUND((300000/365),0)/3</f>
        <v>274</v>
      </c>
      <c r="H79" s="456">
        <v>78561800</v>
      </c>
      <c r="I79" s="456">
        <f t="shared" ref="I79:I109" si="25">5.5%/365</f>
        <v>1.5068493150684933E-4</v>
      </c>
      <c r="J79" s="456">
        <f>ROUND((H79*I79),0)</f>
        <v>11838</v>
      </c>
      <c r="K79" s="452">
        <f>75004831.25</f>
        <v>75004831.25</v>
      </c>
      <c r="L79" s="453">
        <f>K79*I79*7</f>
        <v>79114.685017123295</v>
      </c>
    </row>
    <row r="80" spans="1:12">
      <c r="A80" s="460">
        <f>A79+1</f>
        <v>42187</v>
      </c>
      <c r="B80" s="456">
        <v>78643322</v>
      </c>
      <c r="C80" s="456">
        <f>ROUND((B80*(1.5%/365)),0)</f>
        <v>3232</v>
      </c>
      <c r="D80" s="456">
        <f>ROUND((C80*0.1624),0)</f>
        <v>525</v>
      </c>
      <c r="E80" s="456">
        <f t="shared" si="24"/>
        <v>517</v>
      </c>
      <c r="F80" s="456">
        <f>ROUND(((1/30*1%)/365*B80),0)</f>
        <v>72</v>
      </c>
      <c r="G80" s="456">
        <f>ROUND((300000/365),0)/3</f>
        <v>274</v>
      </c>
      <c r="H80" s="456">
        <v>78561800</v>
      </c>
      <c r="I80" s="456">
        <f t="shared" si="25"/>
        <v>1.5068493150684933E-4</v>
      </c>
      <c r="J80" s="456">
        <f>ROUND((H80*I80),0)</f>
        <v>11838</v>
      </c>
      <c r="K80" s="452">
        <f>75004831.25</f>
        <v>75004831.25</v>
      </c>
      <c r="L80" s="453">
        <f t="shared" ref="L80:L87" si="26">K80*I80</f>
        <v>11302.097859589041</v>
      </c>
    </row>
    <row r="81" spans="1:12">
      <c r="A81" s="460">
        <f t="shared" ref="A81:A109" si="27">A80+1</f>
        <v>42188</v>
      </c>
      <c r="B81" s="456">
        <v>78653037</v>
      </c>
      <c r="C81" s="456">
        <f>ROUND((B81*(1.5%/365)),0)</f>
        <v>3232</v>
      </c>
      <c r="D81" s="456">
        <f>ROUND((C81*0.1624),0)</f>
        <v>525</v>
      </c>
      <c r="E81" s="456">
        <f t="shared" ref="E81" si="28">ROUND((C81*0.16),0)</f>
        <v>517</v>
      </c>
      <c r="F81" s="456">
        <f>ROUND(((1/30*1%)/365*B81),0)</f>
        <v>72</v>
      </c>
      <c r="G81" s="456">
        <f>ROUND((300000/365),0)/3</f>
        <v>274</v>
      </c>
      <c r="H81" s="456">
        <v>78540131.25</v>
      </c>
      <c r="I81" s="456">
        <f t="shared" si="25"/>
        <v>1.5068493150684933E-4</v>
      </c>
      <c r="J81" s="456">
        <f>ROUND((H81*I81),0)</f>
        <v>11835</v>
      </c>
      <c r="K81" s="452">
        <f>78540131.25</f>
        <v>78540131.25</v>
      </c>
      <c r="L81" s="453">
        <f t="shared" si="26"/>
        <v>11834.814297945206</v>
      </c>
    </row>
    <row r="82" spans="1:12">
      <c r="A82" s="460">
        <f t="shared" si="27"/>
        <v>42189</v>
      </c>
      <c r="B82" s="456">
        <v>78653037</v>
      </c>
      <c r="C82" s="456">
        <f>ROUND((B82*(1.5%/365)),0)</f>
        <v>3232</v>
      </c>
      <c r="D82" s="456">
        <f t="shared" si="23"/>
        <v>562</v>
      </c>
      <c r="E82" s="456">
        <f t="shared" si="24"/>
        <v>517</v>
      </c>
      <c r="F82" s="456">
        <f>ROUND(((1/30*1%)/365*B82),0)</f>
        <v>72</v>
      </c>
      <c r="G82" s="456">
        <f t="shared" ref="G82:G109" si="29">ROUND((0/365),0)</f>
        <v>0</v>
      </c>
      <c r="H82" s="352">
        <v>78540131.25</v>
      </c>
      <c r="I82" s="456">
        <f t="shared" si="25"/>
        <v>1.5068493150684933E-4</v>
      </c>
      <c r="J82" s="456">
        <f>ROUND((H82*I82),0)</f>
        <v>11835</v>
      </c>
      <c r="K82" s="452">
        <f t="shared" ref="K82:K87" si="30">78540131.25</f>
        <v>78540131.25</v>
      </c>
      <c r="L82" s="453">
        <f t="shared" si="26"/>
        <v>11834.814297945206</v>
      </c>
    </row>
    <row r="83" spans="1:12">
      <c r="A83" s="460">
        <f t="shared" si="27"/>
        <v>42190</v>
      </c>
      <c r="B83" s="456">
        <v>78653037</v>
      </c>
      <c r="C83" s="456">
        <f>ROUND((B83*(1.5%/365)),0)</f>
        <v>3232</v>
      </c>
      <c r="D83" s="456">
        <f t="shared" si="23"/>
        <v>562</v>
      </c>
      <c r="E83" s="456">
        <f t="shared" si="24"/>
        <v>517</v>
      </c>
      <c r="F83" s="456">
        <f>ROUND(((1/30*1%)/365*B83),0)</f>
        <v>72</v>
      </c>
      <c r="G83" s="456">
        <f t="shared" si="29"/>
        <v>0</v>
      </c>
      <c r="H83" s="352">
        <v>78540131.25</v>
      </c>
      <c r="I83" s="456">
        <f t="shared" si="25"/>
        <v>1.5068493150684933E-4</v>
      </c>
      <c r="J83" s="456">
        <f>ROUND((H83*I83),0)</f>
        <v>11835</v>
      </c>
      <c r="K83" s="452">
        <f t="shared" si="30"/>
        <v>78540131.25</v>
      </c>
      <c r="L83" s="453">
        <f t="shared" si="26"/>
        <v>11834.814297945206</v>
      </c>
    </row>
    <row r="84" spans="1:12">
      <c r="A84" s="460">
        <f t="shared" si="27"/>
        <v>42191</v>
      </c>
      <c r="B84" s="456">
        <v>78669731</v>
      </c>
      <c r="C84" s="456">
        <f t="shared" ref="C84:C109" si="31">ROUND((B84*(1.5%/365)),0)</f>
        <v>3233</v>
      </c>
      <c r="D84" s="456">
        <f t="shared" si="23"/>
        <v>563</v>
      </c>
      <c r="E84" s="456">
        <f t="shared" si="24"/>
        <v>517</v>
      </c>
      <c r="F84" s="456">
        <f t="shared" ref="F84:F109" si="32">ROUND(((1/30*1%)/365*B84),0)</f>
        <v>72</v>
      </c>
      <c r="G84" s="456">
        <v>859</v>
      </c>
      <c r="H84" s="352">
        <v>78540131.25</v>
      </c>
      <c r="I84" s="456">
        <f t="shared" si="25"/>
        <v>1.5068493150684933E-4</v>
      </c>
      <c r="J84" s="456">
        <f t="shared" ref="J84:J109" si="33">ROUND((H84*I84),0)</f>
        <v>11835</v>
      </c>
      <c r="K84" s="452">
        <f t="shared" si="30"/>
        <v>78540131.25</v>
      </c>
      <c r="L84" s="453">
        <f t="shared" si="26"/>
        <v>11834.814297945206</v>
      </c>
    </row>
    <row r="85" spans="1:12">
      <c r="A85" s="460">
        <f t="shared" si="27"/>
        <v>42192</v>
      </c>
      <c r="B85" s="456"/>
      <c r="C85" s="456">
        <f t="shared" si="31"/>
        <v>0</v>
      </c>
      <c r="D85" s="456">
        <f t="shared" si="23"/>
        <v>0</v>
      </c>
      <c r="E85" s="456">
        <f t="shared" si="24"/>
        <v>0</v>
      </c>
      <c r="F85" s="456">
        <f t="shared" si="32"/>
        <v>0</v>
      </c>
      <c r="G85" s="456">
        <f t="shared" si="29"/>
        <v>0</v>
      </c>
      <c r="H85" s="456"/>
      <c r="I85" s="456">
        <f t="shared" si="25"/>
        <v>1.5068493150684933E-4</v>
      </c>
      <c r="J85" s="456">
        <f t="shared" si="33"/>
        <v>0</v>
      </c>
      <c r="K85" s="452">
        <f t="shared" si="30"/>
        <v>78540131.25</v>
      </c>
      <c r="L85" s="453">
        <f t="shared" si="26"/>
        <v>11834.814297945206</v>
      </c>
    </row>
    <row r="86" spans="1:12">
      <c r="A86" s="460">
        <f t="shared" si="27"/>
        <v>42193</v>
      </c>
      <c r="B86" s="456"/>
      <c r="C86" s="456">
        <f t="shared" si="31"/>
        <v>0</v>
      </c>
      <c r="D86" s="456">
        <f t="shared" si="23"/>
        <v>0</v>
      </c>
      <c r="E86" s="456">
        <f t="shared" si="24"/>
        <v>0</v>
      </c>
      <c r="F86" s="456">
        <f t="shared" si="32"/>
        <v>0</v>
      </c>
      <c r="G86" s="456">
        <f t="shared" si="29"/>
        <v>0</v>
      </c>
      <c r="H86" s="456"/>
      <c r="I86" s="456">
        <f t="shared" si="25"/>
        <v>1.5068493150684933E-4</v>
      </c>
      <c r="J86" s="456">
        <f t="shared" si="33"/>
        <v>0</v>
      </c>
      <c r="K86" s="452">
        <f t="shared" si="30"/>
        <v>78540131.25</v>
      </c>
      <c r="L86" s="453">
        <f t="shared" si="26"/>
        <v>11834.814297945206</v>
      </c>
    </row>
    <row r="87" spans="1:12">
      <c r="A87" s="460">
        <f t="shared" si="27"/>
        <v>42194</v>
      </c>
      <c r="B87" s="456"/>
      <c r="C87" s="456">
        <f t="shared" si="31"/>
        <v>0</v>
      </c>
      <c r="D87" s="456">
        <f t="shared" si="23"/>
        <v>0</v>
      </c>
      <c r="E87" s="456">
        <f t="shared" si="24"/>
        <v>0</v>
      </c>
      <c r="F87" s="456">
        <f t="shared" si="32"/>
        <v>0</v>
      </c>
      <c r="G87" s="456">
        <f t="shared" si="29"/>
        <v>0</v>
      </c>
      <c r="H87" s="456"/>
      <c r="I87" s="456">
        <f t="shared" si="25"/>
        <v>1.5068493150684933E-4</v>
      </c>
      <c r="J87" s="456">
        <f t="shared" si="33"/>
        <v>0</v>
      </c>
      <c r="K87" s="452">
        <f t="shared" si="30"/>
        <v>78540131.25</v>
      </c>
      <c r="L87" s="453">
        <f t="shared" si="26"/>
        <v>11834.814297945206</v>
      </c>
    </row>
    <row r="88" spans="1:12">
      <c r="A88" s="460">
        <f t="shared" si="27"/>
        <v>42195</v>
      </c>
      <c r="B88" s="456"/>
      <c r="C88" s="456">
        <f t="shared" si="31"/>
        <v>0</v>
      </c>
      <c r="D88" s="456">
        <f t="shared" si="23"/>
        <v>0</v>
      </c>
      <c r="E88" s="456">
        <f t="shared" si="24"/>
        <v>0</v>
      </c>
      <c r="F88" s="456">
        <f t="shared" si="32"/>
        <v>0</v>
      </c>
      <c r="G88" s="456">
        <f t="shared" si="29"/>
        <v>0</v>
      </c>
      <c r="H88" s="456"/>
      <c r="I88" s="456">
        <f t="shared" si="25"/>
        <v>1.5068493150684933E-4</v>
      </c>
      <c r="J88" s="456">
        <f t="shared" si="33"/>
        <v>0</v>
      </c>
      <c r="L88" s="453"/>
    </row>
    <row r="89" spans="1:12">
      <c r="A89" s="460">
        <f t="shared" si="27"/>
        <v>42196</v>
      </c>
      <c r="B89" s="456"/>
      <c r="C89" s="456">
        <f t="shared" si="31"/>
        <v>0</v>
      </c>
      <c r="D89" s="456">
        <f t="shared" si="23"/>
        <v>0</v>
      </c>
      <c r="E89" s="456">
        <f t="shared" si="24"/>
        <v>0</v>
      </c>
      <c r="F89" s="456">
        <f t="shared" si="32"/>
        <v>0</v>
      </c>
      <c r="G89" s="456">
        <f t="shared" si="29"/>
        <v>0</v>
      </c>
      <c r="H89" s="456"/>
      <c r="I89" s="456">
        <f t="shared" si="25"/>
        <v>1.5068493150684933E-4</v>
      </c>
      <c r="J89" s="456">
        <f t="shared" si="33"/>
        <v>0</v>
      </c>
      <c r="L89" s="453"/>
    </row>
    <row r="90" spans="1:12">
      <c r="A90" s="460">
        <f t="shared" si="27"/>
        <v>42197</v>
      </c>
      <c r="B90" s="456"/>
      <c r="C90" s="456">
        <f t="shared" si="31"/>
        <v>0</v>
      </c>
      <c r="D90" s="456">
        <f t="shared" si="23"/>
        <v>0</v>
      </c>
      <c r="E90" s="456">
        <f t="shared" si="24"/>
        <v>0</v>
      </c>
      <c r="F90" s="456">
        <f t="shared" si="32"/>
        <v>0</v>
      </c>
      <c r="G90" s="456">
        <f t="shared" si="29"/>
        <v>0</v>
      </c>
      <c r="H90" s="456"/>
      <c r="I90" s="456">
        <f t="shared" si="25"/>
        <v>1.5068493150684933E-4</v>
      </c>
      <c r="J90" s="456">
        <f t="shared" si="33"/>
        <v>0</v>
      </c>
      <c r="L90" s="453"/>
    </row>
    <row r="91" spans="1:12">
      <c r="A91" s="460">
        <f t="shared" si="27"/>
        <v>42198</v>
      </c>
      <c r="B91" s="456"/>
      <c r="C91" s="456">
        <f t="shared" si="31"/>
        <v>0</v>
      </c>
      <c r="D91" s="456">
        <f t="shared" si="23"/>
        <v>0</v>
      </c>
      <c r="E91" s="456">
        <f t="shared" si="24"/>
        <v>0</v>
      </c>
      <c r="F91" s="456">
        <f t="shared" si="32"/>
        <v>0</v>
      </c>
      <c r="G91" s="456">
        <f t="shared" si="29"/>
        <v>0</v>
      </c>
      <c r="H91" s="456"/>
      <c r="I91" s="456">
        <f t="shared" si="25"/>
        <v>1.5068493150684933E-4</v>
      </c>
      <c r="J91" s="456">
        <f t="shared" si="33"/>
        <v>0</v>
      </c>
      <c r="L91" s="453"/>
    </row>
    <row r="92" spans="1:12">
      <c r="A92" s="460">
        <f t="shared" si="27"/>
        <v>42199</v>
      </c>
      <c r="B92" s="456"/>
      <c r="C92" s="456">
        <f t="shared" si="31"/>
        <v>0</v>
      </c>
      <c r="D92" s="456">
        <f t="shared" si="23"/>
        <v>0</v>
      </c>
      <c r="E92" s="456">
        <f t="shared" si="24"/>
        <v>0</v>
      </c>
      <c r="F92" s="456">
        <f t="shared" si="32"/>
        <v>0</v>
      </c>
      <c r="G92" s="456">
        <f t="shared" si="29"/>
        <v>0</v>
      </c>
      <c r="H92" s="456"/>
      <c r="I92" s="456">
        <f t="shared" si="25"/>
        <v>1.5068493150684933E-4</v>
      </c>
      <c r="J92" s="456">
        <f t="shared" si="33"/>
        <v>0</v>
      </c>
      <c r="L92" s="453"/>
    </row>
    <row r="93" spans="1:12">
      <c r="A93" s="460">
        <f t="shared" si="27"/>
        <v>42200</v>
      </c>
      <c r="B93" s="456"/>
      <c r="C93" s="456">
        <f t="shared" si="31"/>
        <v>0</v>
      </c>
      <c r="D93" s="456">
        <f t="shared" si="23"/>
        <v>0</v>
      </c>
      <c r="E93" s="456">
        <f t="shared" si="24"/>
        <v>0</v>
      </c>
      <c r="F93" s="456">
        <f t="shared" si="32"/>
        <v>0</v>
      </c>
      <c r="G93" s="456">
        <f t="shared" si="29"/>
        <v>0</v>
      </c>
      <c r="H93" s="456"/>
      <c r="I93" s="456">
        <f t="shared" si="25"/>
        <v>1.5068493150684933E-4</v>
      </c>
      <c r="J93" s="456">
        <f t="shared" si="33"/>
        <v>0</v>
      </c>
      <c r="L93" s="453"/>
    </row>
    <row r="94" spans="1:12">
      <c r="A94" s="460">
        <f t="shared" si="27"/>
        <v>42201</v>
      </c>
      <c r="B94" s="456"/>
      <c r="C94" s="456">
        <f t="shared" si="31"/>
        <v>0</v>
      </c>
      <c r="D94" s="456">
        <f t="shared" si="23"/>
        <v>0</v>
      </c>
      <c r="E94" s="456">
        <f t="shared" si="24"/>
        <v>0</v>
      </c>
      <c r="F94" s="456">
        <f t="shared" si="32"/>
        <v>0</v>
      </c>
      <c r="G94" s="456">
        <f t="shared" si="29"/>
        <v>0</v>
      </c>
      <c r="H94" s="456"/>
      <c r="I94" s="456">
        <f t="shared" si="25"/>
        <v>1.5068493150684933E-4</v>
      </c>
      <c r="J94" s="456">
        <f t="shared" si="33"/>
        <v>0</v>
      </c>
      <c r="L94" s="453"/>
    </row>
    <row r="95" spans="1:12">
      <c r="A95" s="460">
        <f t="shared" si="27"/>
        <v>42202</v>
      </c>
      <c r="B95" s="456"/>
      <c r="C95" s="456">
        <f t="shared" si="31"/>
        <v>0</v>
      </c>
      <c r="D95" s="456">
        <f t="shared" si="23"/>
        <v>0</v>
      </c>
      <c r="E95" s="456">
        <f t="shared" si="24"/>
        <v>0</v>
      </c>
      <c r="F95" s="456">
        <f t="shared" si="32"/>
        <v>0</v>
      </c>
      <c r="G95" s="456">
        <f t="shared" si="29"/>
        <v>0</v>
      </c>
      <c r="H95" s="456"/>
      <c r="I95" s="456">
        <f t="shared" si="25"/>
        <v>1.5068493150684933E-4</v>
      </c>
      <c r="J95" s="456">
        <f t="shared" si="33"/>
        <v>0</v>
      </c>
      <c r="L95" s="453"/>
    </row>
    <row r="96" spans="1:12">
      <c r="A96" s="460">
        <f t="shared" si="27"/>
        <v>42203</v>
      </c>
      <c r="B96" s="456"/>
      <c r="C96" s="456">
        <f t="shared" si="31"/>
        <v>0</v>
      </c>
      <c r="D96" s="456">
        <f t="shared" si="23"/>
        <v>0</v>
      </c>
      <c r="E96" s="456">
        <f t="shared" si="24"/>
        <v>0</v>
      </c>
      <c r="F96" s="456">
        <f t="shared" si="32"/>
        <v>0</v>
      </c>
      <c r="G96" s="456">
        <f t="shared" si="29"/>
        <v>0</v>
      </c>
      <c r="H96" s="456"/>
      <c r="I96" s="456">
        <f t="shared" si="25"/>
        <v>1.5068493150684933E-4</v>
      </c>
      <c r="J96" s="456">
        <f t="shared" si="33"/>
        <v>0</v>
      </c>
      <c r="L96" s="453"/>
    </row>
    <row r="97" spans="1:12">
      <c r="A97" s="460">
        <f t="shared" si="27"/>
        <v>42204</v>
      </c>
      <c r="B97" s="456"/>
      <c r="C97" s="456">
        <f t="shared" si="31"/>
        <v>0</v>
      </c>
      <c r="D97" s="456">
        <f t="shared" si="23"/>
        <v>0</v>
      </c>
      <c r="E97" s="456">
        <f t="shared" si="24"/>
        <v>0</v>
      </c>
      <c r="F97" s="456">
        <f t="shared" si="32"/>
        <v>0</v>
      </c>
      <c r="G97" s="456">
        <f t="shared" si="29"/>
        <v>0</v>
      </c>
      <c r="H97" s="456"/>
      <c r="I97" s="456">
        <f t="shared" si="25"/>
        <v>1.5068493150684933E-4</v>
      </c>
      <c r="J97" s="456">
        <f t="shared" si="33"/>
        <v>0</v>
      </c>
      <c r="L97" s="453"/>
    </row>
    <row r="98" spans="1:12">
      <c r="A98" s="460">
        <f t="shared" si="27"/>
        <v>42205</v>
      </c>
      <c r="B98" s="456"/>
      <c r="C98" s="456">
        <f t="shared" si="31"/>
        <v>0</v>
      </c>
      <c r="D98" s="456">
        <f t="shared" si="23"/>
        <v>0</v>
      </c>
      <c r="E98" s="456">
        <f t="shared" si="24"/>
        <v>0</v>
      </c>
      <c r="F98" s="456">
        <f t="shared" si="32"/>
        <v>0</v>
      </c>
      <c r="G98" s="456">
        <f t="shared" si="29"/>
        <v>0</v>
      </c>
      <c r="H98" s="456"/>
      <c r="I98" s="456">
        <f t="shared" si="25"/>
        <v>1.5068493150684933E-4</v>
      </c>
      <c r="J98" s="456">
        <f t="shared" si="33"/>
        <v>0</v>
      </c>
      <c r="L98" s="453"/>
    </row>
    <row r="99" spans="1:12">
      <c r="A99" s="460">
        <f t="shared" si="27"/>
        <v>42206</v>
      </c>
      <c r="B99" s="456"/>
      <c r="C99" s="456">
        <f t="shared" si="31"/>
        <v>0</v>
      </c>
      <c r="D99" s="456">
        <f t="shared" si="23"/>
        <v>0</v>
      </c>
      <c r="E99" s="456">
        <f t="shared" si="24"/>
        <v>0</v>
      </c>
      <c r="F99" s="456">
        <f t="shared" si="32"/>
        <v>0</v>
      </c>
      <c r="G99" s="456">
        <f t="shared" si="29"/>
        <v>0</v>
      </c>
      <c r="H99" s="456"/>
      <c r="I99" s="456">
        <f t="shared" si="25"/>
        <v>1.5068493150684933E-4</v>
      </c>
      <c r="J99" s="456">
        <f t="shared" si="33"/>
        <v>0</v>
      </c>
      <c r="L99" s="453"/>
    </row>
    <row r="100" spans="1:12">
      <c r="A100" s="460">
        <f t="shared" si="27"/>
        <v>42207</v>
      </c>
      <c r="B100" s="456"/>
      <c r="C100" s="456">
        <f t="shared" si="31"/>
        <v>0</v>
      </c>
      <c r="D100" s="456">
        <f t="shared" si="23"/>
        <v>0</v>
      </c>
      <c r="E100" s="456">
        <f t="shared" si="24"/>
        <v>0</v>
      </c>
      <c r="F100" s="456">
        <f t="shared" si="32"/>
        <v>0</v>
      </c>
      <c r="G100" s="456">
        <f t="shared" si="29"/>
        <v>0</v>
      </c>
      <c r="H100" s="456"/>
      <c r="I100" s="456">
        <f t="shared" si="25"/>
        <v>1.5068493150684933E-4</v>
      </c>
      <c r="J100" s="456">
        <f t="shared" si="33"/>
        <v>0</v>
      </c>
      <c r="L100" s="453"/>
    </row>
    <row r="101" spans="1:12">
      <c r="A101" s="460">
        <f t="shared" si="27"/>
        <v>42208</v>
      </c>
      <c r="B101" s="456"/>
      <c r="C101" s="456">
        <f t="shared" si="31"/>
        <v>0</v>
      </c>
      <c r="D101" s="456">
        <f t="shared" si="23"/>
        <v>0</v>
      </c>
      <c r="E101" s="456">
        <f t="shared" si="24"/>
        <v>0</v>
      </c>
      <c r="F101" s="456">
        <f t="shared" si="32"/>
        <v>0</v>
      </c>
      <c r="G101" s="456">
        <f t="shared" si="29"/>
        <v>0</v>
      </c>
      <c r="H101" s="456"/>
      <c r="I101" s="456">
        <f t="shared" si="25"/>
        <v>1.5068493150684933E-4</v>
      </c>
      <c r="J101" s="456">
        <f t="shared" si="33"/>
        <v>0</v>
      </c>
      <c r="L101" s="453"/>
    </row>
    <row r="102" spans="1:12">
      <c r="A102" s="460">
        <f t="shared" si="27"/>
        <v>42209</v>
      </c>
      <c r="B102" s="456"/>
      <c r="C102" s="456">
        <f t="shared" si="31"/>
        <v>0</v>
      </c>
      <c r="D102" s="456">
        <f t="shared" si="23"/>
        <v>0</v>
      </c>
      <c r="E102" s="456">
        <f t="shared" si="24"/>
        <v>0</v>
      </c>
      <c r="F102" s="456">
        <f t="shared" si="32"/>
        <v>0</v>
      </c>
      <c r="G102" s="456">
        <f t="shared" si="29"/>
        <v>0</v>
      </c>
      <c r="H102" s="456"/>
      <c r="I102" s="456">
        <f t="shared" si="25"/>
        <v>1.5068493150684933E-4</v>
      </c>
      <c r="J102" s="456">
        <f t="shared" si="33"/>
        <v>0</v>
      </c>
      <c r="L102" s="453"/>
    </row>
    <row r="103" spans="1:12">
      <c r="A103" s="460">
        <f t="shared" si="27"/>
        <v>42210</v>
      </c>
      <c r="B103" s="456"/>
      <c r="C103" s="456">
        <f t="shared" si="31"/>
        <v>0</v>
      </c>
      <c r="D103" s="456">
        <f t="shared" si="23"/>
        <v>0</v>
      </c>
      <c r="E103" s="456">
        <f t="shared" si="24"/>
        <v>0</v>
      </c>
      <c r="F103" s="456">
        <f t="shared" si="32"/>
        <v>0</v>
      </c>
      <c r="G103" s="456">
        <f t="shared" si="29"/>
        <v>0</v>
      </c>
      <c r="H103" s="456"/>
      <c r="I103" s="456">
        <f t="shared" si="25"/>
        <v>1.5068493150684933E-4</v>
      </c>
      <c r="J103" s="456">
        <f t="shared" si="33"/>
        <v>0</v>
      </c>
      <c r="L103" s="453"/>
    </row>
    <row r="104" spans="1:12">
      <c r="A104" s="460">
        <f t="shared" si="27"/>
        <v>42211</v>
      </c>
      <c r="B104" s="456"/>
      <c r="C104" s="456">
        <f t="shared" si="31"/>
        <v>0</v>
      </c>
      <c r="D104" s="456">
        <f t="shared" si="23"/>
        <v>0</v>
      </c>
      <c r="E104" s="456">
        <f t="shared" si="24"/>
        <v>0</v>
      </c>
      <c r="F104" s="456">
        <f t="shared" si="32"/>
        <v>0</v>
      </c>
      <c r="G104" s="456">
        <f t="shared" si="29"/>
        <v>0</v>
      </c>
      <c r="H104" s="456"/>
      <c r="I104" s="456">
        <f t="shared" si="25"/>
        <v>1.5068493150684933E-4</v>
      </c>
      <c r="J104" s="456">
        <f t="shared" si="33"/>
        <v>0</v>
      </c>
      <c r="L104" s="453"/>
    </row>
    <row r="105" spans="1:12">
      <c r="A105" s="460">
        <f t="shared" si="27"/>
        <v>42212</v>
      </c>
      <c r="B105" s="456"/>
      <c r="C105" s="456">
        <f t="shared" si="31"/>
        <v>0</v>
      </c>
      <c r="D105" s="456">
        <f t="shared" si="23"/>
        <v>0</v>
      </c>
      <c r="E105" s="456">
        <f t="shared" si="24"/>
        <v>0</v>
      </c>
      <c r="F105" s="456">
        <f t="shared" si="32"/>
        <v>0</v>
      </c>
      <c r="G105" s="456">
        <f t="shared" si="29"/>
        <v>0</v>
      </c>
      <c r="H105" s="456"/>
      <c r="I105" s="456">
        <f t="shared" si="25"/>
        <v>1.5068493150684933E-4</v>
      </c>
      <c r="J105" s="456">
        <f t="shared" si="33"/>
        <v>0</v>
      </c>
      <c r="L105" s="453"/>
    </row>
    <row r="106" spans="1:12">
      <c r="A106" s="460">
        <f t="shared" si="27"/>
        <v>42213</v>
      </c>
      <c r="B106" s="456"/>
      <c r="C106" s="456">
        <f t="shared" si="31"/>
        <v>0</v>
      </c>
      <c r="D106" s="456">
        <f t="shared" si="23"/>
        <v>0</v>
      </c>
      <c r="E106" s="456">
        <f t="shared" si="24"/>
        <v>0</v>
      </c>
      <c r="F106" s="456">
        <f t="shared" si="32"/>
        <v>0</v>
      </c>
      <c r="G106" s="456">
        <f t="shared" si="29"/>
        <v>0</v>
      </c>
      <c r="H106" s="456"/>
      <c r="I106" s="456">
        <f t="shared" si="25"/>
        <v>1.5068493150684933E-4</v>
      </c>
      <c r="J106" s="456">
        <f t="shared" si="33"/>
        <v>0</v>
      </c>
      <c r="L106" s="453"/>
    </row>
    <row r="107" spans="1:12">
      <c r="A107" s="460">
        <f t="shared" si="27"/>
        <v>42214</v>
      </c>
      <c r="B107" s="456"/>
      <c r="C107" s="456">
        <f t="shared" si="31"/>
        <v>0</v>
      </c>
      <c r="D107" s="456">
        <f t="shared" si="23"/>
        <v>0</v>
      </c>
      <c r="E107" s="456">
        <f t="shared" si="24"/>
        <v>0</v>
      </c>
      <c r="F107" s="456">
        <f t="shared" si="32"/>
        <v>0</v>
      </c>
      <c r="G107" s="456">
        <f t="shared" si="29"/>
        <v>0</v>
      </c>
      <c r="H107" s="456"/>
      <c r="I107" s="456">
        <f t="shared" si="25"/>
        <v>1.5068493150684933E-4</v>
      </c>
      <c r="J107" s="456">
        <f t="shared" si="33"/>
        <v>0</v>
      </c>
      <c r="L107" s="453"/>
    </row>
    <row r="108" spans="1:12">
      <c r="A108" s="460">
        <f t="shared" si="27"/>
        <v>42215</v>
      </c>
      <c r="B108" s="456"/>
      <c r="C108" s="456">
        <f t="shared" si="31"/>
        <v>0</v>
      </c>
      <c r="D108" s="456">
        <f t="shared" si="23"/>
        <v>0</v>
      </c>
      <c r="E108" s="456">
        <f t="shared" si="24"/>
        <v>0</v>
      </c>
      <c r="F108" s="456">
        <f t="shared" si="32"/>
        <v>0</v>
      </c>
      <c r="G108" s="456">
        <f t="shared" si="29"/>
        <v>0</v>
      </c>
      <c r="H108" s="456"/>
      <c r="I108" s="456">
        <f t="shared" si="25"/>
        <v>1.5068493150684933E-4</v>
      </c>
      <c r="J108" s="456">
        <f t="shared" si="33"/>
        <v>0</v>
      </c>
      <c r="L108" s="453"/>
    </row>
    <row r="109" spans="1:12">
      <c r="A109" s="460">
        <f t="shared" si="27"/>
        <v>42216</v>
      </c>
      <c r="B109" s="456"/>
      <c r="C109" s="456">
        <f t="shared" si="31"/>
        <v>0</v>
      </c>
      <c r="D109" s="456">
        <f t="shared" si="23"/>
        <v>0</v>
      </c>
      <c r="E109" s="456">
        <f t="shared" si="24"/>
        <v>0</v>
      </c>
      <c r="F109" s="456">
        <f t="shared" si="32"/>
        <v>0</v>
      </c>
      <c r="G109" s="456">
        <f t="shared" si="29"/>
        <v>0</v>
      </c>
      <c r="H109" s="456"/>
      <c r="I109" s="456">
        <f t="shared" si="25"/>
        <v>1.5068493150684933E-4</v>
      </c>
      <c r="J109" s="456">
        <f t="shared" si="33"/>
        <v>0</v>
      </c>
      <c r="L109" s="453"/>
    </row>
    <row r="110" spans="1:12">
      <c r="B110" s="456"/>
      <c r="C110" s="456"/>
      <c r="D110" s="456"/>
      <c r="E110" s="456"/>
      <c r="F110" s="456"/>
      <c r="G110" s="456"/>
      <c r="H110" s="456"/>
      <c r="I110" s="456"/>
      <c r="J110" s="456"/>
    </row>
    <row r="111" spans="1:12">
      <c r="A111" s="452" t="s">
        <v>213</v>
      </c>
      <c r="B111" s="456"/>
      <c r="C111" s="458">
        <f>SUM(C79:C110)</f>
        <v>19393</v>
      </c>
      <c r="D111" s="458">
        <f>SUM(D79:D110)</f>
        <v>3299</v>
      </c>
      <c r="E111" s="458">
        <f>SUM(E79:E110)</f>
        <v>3102</v>
      </c>
      <c r="F111" s="458">
        <f>SUM(F79:F110)</f>
        <v>432</v>
      </c>
      <c r="G111" s="458">
        <f>SUM(G79:G110)</f>
        <v>1681</v>
      </c>
      <c r="H111" s="458"/>
      <c r="I111" s="458"/>
      <c r="J111" s="458">
        <f>SUM(J79:J110)</f>
        <v>71016</v>
      </c>
      <c r="K111" s="452">
        <f>35511</f>
        <v>35511</v>
      </c>
      <c r="L111" s="453">
        <f>SUM(L79:L110)</f>
        <v>173260.4829623288</v>
      </c>
    </row>
    <row r="112" spans="1:12">
      <c r="K112" s="454">
        <f>J111-K111</f>
        <v>35505</v>
      </c>
      <c r="L112" s="453">
        <f>J111-L111</f>
        <v>-102244.4829623288</v>
      </c>
    </row>
  </sheetData>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sheetPr>
    <tabColor indexed="11"/>
    <pageSetUpPr fitToPage="1"/>
  </sheetPr>
  <dimension ref="A1:GX97"/>
  <sheetViews>
    <sheetView view="pageBreakPreview" zoomScaleSheetLayoutView="100" workbookViewId="0">
      <selection activeCell="K66" sqref="K66"/>
    </sheetView>
  </sheetViews>
  <sheetFormatPr defaultRowHeight="12"/>
  <cols>
    <col min="1" max="1" width="44.625" style="25" customWidth="1"/>
    <col min="2" max="2" width="0.75" style="35" customWidth="1"/>
    <col min="3" max="3" width="11.875" style="35" hidden="1" customWidth="1"/>
    <col min="4" max="4" width="0.75" style="35" hidden="1" customWidth="1"/>
    <col min="5" max="5" width="12.625" style="35" hidden="1" customWidth="1"/>
    <col min="6" max="6" width="13.375" style="38" customWidth="1"/>
    <col min="7" max="7" width="0.625" style="25" customWidth="1"/>
    <col min="8" max="8" width="12.875" style="25" customWidth="1"/>
    <col min="9" max="9" width="0.625" style="25" customWidth="1"/>
    <col min="10" max="10" width="12.5" style="25" customWidth="1"/>
    <col min="11" max="11" width="0.875" style="25" customWidth="1"/>
    <col min="12" max="12" width="9" style="25"/>
    <col min="13" max="13" width="11.875" style="25" bestFit="1" customWidth="1"/>
    <col min="14" max="14" width="9.125" style="25" bestFit="1" customWidth="1"/>
    <col min="15" max="16384" width="9" style="25"/>
  </cols>
  <sheetData>
    <row r="1" spans="1:14">
      <c r="A1" s="2" t="s">
        <v>254</v>
      </c>
      <c r="B1" s="2"/>
      <c r="C1" s="2"/>
      <c r="D1" s="2"/>
      <c r="E1" s="2"/>
      <c r="F1" s="2"/>
      <c r="G1" s="2"/>
    </row>
    <row r="2" spans="1:14">
      <c r="A2" s="45" t="s">
        <v>227</v>
      </c>
      <c r="B2" s="53"/>
      <c r="C2" s="53"/>
      <c r="D2" s="53"/>
      <c r="E2" s="53"/>
      <c r="F2" s="172"/>
      <c r="G2" s="34"/>
    </row>
    <row r="3" spans="1:14" hidden="1">
      <c r="A3" s="45" t="s">
        <v>218</v>
      </c>
      <c r="B3" s="53"/>
      <c r="C3" s="53"/>
      <c r="D3" s="53"/>
      <c r="E3" s="53"/>
      <c r="F3" s="36"/>
      <c r="G3" s="34"/>
    </row>
    <row r="4" spans="1:14">
      <c r="A4" s="45"/>
      <c r="B4" s="53"/>
      <c r="C4" s="53"/>
      <c r="D4" s="53"/>
      <c r="E4" s="53"/>
      <c r="F4" s="405"/>
      <c r="G4" s="34"/>
    </row>
    <row r="5" spans="1:14">
      <c r="A5" s="45"/>
      <c r="B5" s="53"/>
      <c r="C5" s="53"/>
      <c r="D5" s="53"/>
      <c r="E5" s="53"/>
      <c r="F5" s="36"/>
      <c r="G5" s="395"/>
      <c r="M5" s="25">
        <f>75000000</f>
        <v>75000000</v>
      </c>
    </row>
    <row r="6" spans="1:14" s="237" customFormat="1" ht="34.5" customHeight="1">
      <c r="B6" s="239"/>
      <c r="C6" s="392" t="e">
        <f>#REF!</f>
        <v>#REF!</v>
      </c>
      <c r="D6" s="239"/>
      <c r="E6" s="392" t="e">
        <f>#REF!</f>
        <v>#REF!</v>
      </c>
      <c r="F6" s="392" t="s">
        <v>256</v>
      </c>
      <c r="G6" s="4"/>
      <c r="H6" s="392" t="s">
        <v>257</v>
      </c>
      <c r="I6" s="4"/>
      <c r="J6" s="392" t="s">
        <v>258</v>
      </c>
      <c r="K6" s="4"/>
      <c r="M6" s="237">
        <f>5.94%/365</f>
        <v>1.6273972602739726E-4</v>
      </c>
      <c r="N6" s="237">
        <f>M5*M6</f>
        <v>12205.479452054795</v>
      </c>
    </row>
    <row r="7" spans="1:14" s="237" customFormat="1" ht="11.1" customHeight="1">
      <c r="B7" s="238"/>
      <c r="C7" s="393" t="s">
        <v>141</v>
      </c>
      <c r="D7" s="238"/>
      <c r="E7" s="393" t="s">
        <v>141</v>
      </c>
      <c r="F7" s="393" t="s">
        <v>141</v>
      </c>
      <c r="G7" s="413"/>
      <c r="H7" s="393" t="s">
        <v>141</v>
      </c>
      <c r="I7" s="4"/>
      <c r="J7" s="393" t="s">
        <v>141</v>
      </c>
      <c r="K7" s="4"/>
      <c r="N7" s="242">
        <f>N6*7</f>
        <v>85438.356164383556</v>
      </c>
    </row>
    <row r="8" spans="1:14" s="237" customFormat="1" ht="11.1" customHeight="1">
      <c r="C8" s="394" t="s">
        <v>235</v>
      </c>
      <c r="E8" s="394" t="s">
        <v>171</v>
      </c>
      <c r="F8" s="394"/>
      <c r="G8" s="126"/>
      <c r="H8" s="394"/>
      <c r="I8" s="4"/>
      <c r="J8" s="394"/>
      <c r="K8" s="4"/>
    </row>
    <row r="9" spans="1:14" s="237" customFormat="1" ht="11.1" customHeight="1">
      <c r="F9" s="270"/>
      <c r="G9" s="270"/>
    </row>
    <row r="10" spans="1:14" s="237" customFormat="1" ht="9.9499999999999993" customHeight="1">
      <c r="A10" s="240" t="s">
        <v>94</v>
      </c>
      <c r="B10" s="238"/>
      <c r="C10" s="238"/>
      <c r="D10" s="238"/>
      <c r="E10" s="238"/>
      <c r="F10" s="345"/>
      <c r="G10" s="241"/>
    </row>
    <row r="11" spans="1:14" s="237" customFormat="1" ht="9.9499999999999993" hidden="1" customHeight="1">
      <c r="A11" s="243" t="s">
        <v>60</v>
      </c>
      <c r="B11" s="244"/>
      <c r="C11" s="345" t="e">
        <f>#REF!</f>
        <v>#REF!</v>
      </c>
      <c r="D11" s="244"/>
      <c r="E11" s="345" t="e">
        <f>ROUND((C11/1000),0)</f>
        <v>#REF!</v>
      </c>
      <c r="F11" s="345"/>
      <c r="G11" s="241"/>
      <c r="H11" s="345"/>
      <c r="J11" s="345"/>
      <c r="M11" s="237">
        <v>1895809</v>
      </c>
      <c r="N11" s="246" t="e">
        <f t="shared" ref="N11:N55" si="0">E11-M11</f>
        <v>#REF!</v>
      </c>
    </row>
    <row r="12" spans="1:14" s="237" customFormat="1" ht="9.9499999999999993" hidden="1" customHeight="1">
      <c r="A12" s="243" t="s">
        <v>154</v>
      </c>
      <c r="B12" s="244"/>
      <c r="C12" s="345" t="e">
        <f>#REF!</f>
        <v>#REF!</v>
      </c>
      <c r="D12" s="244"/>
      <c r="E12" s="345" t="e">
        <f t="shared" ref="E12:E15" si="1">ROUND((C12/1000),0)</f>
        <v>#REF!</v>
      </c>
      <c r="F12" s="345"/>
      <c r="G12" s="345"/>
      <c r="H12" s="345"/>
      <c r="J12" s="345"/>
      <c r="M12" s="237">
        <v>3181763</v>
      </c>
      <c r="N12" s="246" t="e">
        <f t="shared" si="0"/>
        <v>#REF!</v>
      </c>
    </row>
    <row r="13" spans="1:14" s="237" customFormat="1" ht="9.9499999999999993" hidden="1" customHeight="1">
      <c r="A13" s="243" t="s">
        <v>20</v>
      </c>
      <c r="B13" s="244"/>
      <c r="C13" s="345" t="e">
        <f>#REF!</f>
        <v>#REF!</v>
      </c>
      <c r="D13" s="244"/>
      <c r="E13" s="345" t="e">
        <f t="shared" si="1"/>
        <v>#REF!</v>
      </c>
      <c r="F13" s="345"/>
      <c r="G13" s="241"/>
      <c r="H13" s="345"/>
      <c r="J13" s="345"/>
      <c r="M13" s="237">
        <v>79354</v>
      </c>
      <c r="N13" s="246" t="e">
        <f t="shared" si="0"/>
        <v>#REF!</v>
      </c>
    </row>
    <row r="14" spans="1:14" s="237" customFormat="1" ht="9.9499999999999993" customHeight="1">
      <c r="A14" s="243" t="s">
        <v>135</v>
      </c>
      <c r="B14" s="244"/>
      <c r="C14" s="345" t="e">
        <f>#REF!</f>
        <v>#REF!</v>
      </c>
      <c r="D14" s="244"/>
      <c r="E14" s="345" t="e">
        <f t="shared" si="1"/>
        <v>#REF!</v>
      </c>
      <c r="F14" s="345">
        <f>PLS!$J$38</f>
        <v>58453</v>
      </c>
      <c r="G14" s="241"/>
      <c r="H14" s="345">
        <f>PLS!$J$74</f>
        <v>68384</v>
      </c>
      <c r="J14" s="345">
        <f>PLS!$J$111</f>
        <v>71016</v>
      </c>
      <c r="L14" s="246">
        <f>SUM(F14:K14)</f>
        <v>197853</v>
      </c>
      <c r="M14" s="237">
        <v>134925</v>
      </c>
      <c r="N14" s="246" t="e">
        <f t="shared" si="0"/>
        <v>#REF!</v>
      </c>
    </row>
    <row r="15" spans="1:14" s="237" customFormat="1" ht="9.9499999999999993" customHeight="1">
      <c r="A15" s="243"/>
      <c r="B15" s="238"/>
      <c r="C15" s="345" t="e">
        <f>#REF!+#REF!</f>
        <v>#REF!</v>
      </c>
      <c r="D15" s="238"/>
      <c r="E15" s="345" t="e">
        <f t="shared" si="1"/>
        <v>#REF!</v>
      </c>
      <c r="F15" s="345"/>
      <c r="G15" s="344"/>
      <c r="H15" s="345"/>
      <c r="J15" s="345"/>
      <c r="M15" s="237">
        <v>35195</v>
      </c>
      <c r="N15" s="246" t="e">
        <f t="shared" si="0"/>
        <v>#REF!</v>
      </c>
    </row>
    <row r="16" spans="1:14" s="237" customFormat="1" ht="9.9499999999999993" customHeight="1">
      <c r="A16" s="243"/>
      <c r="B16" s="238"/>
      <c r="C16" s="345" t="e">
        <f>#REF!</f>
        <v>#REF!</v>
      </c>
      <c r="D16" s="238"/>
      <c r="E16" s="345" t="e">
        <f>ROUND((C16/1000),0)</f>
        <v>#REF!</v>
      </c>
      <c r="F16" s="345"/>
      <c r="G16" s="344"/>
      <c r="H16" s="345"/>
      <c r="J16" s="345"/>
      <c r="M16" s="237">
        <v>8670</v>
      </c>
      <c r="N16" s="246" t="e">
        <f t="shared" si="0"/>
        <v>#REF!</v>
      </c>
    </row>
    <row r="17" spans="1:14" s="237" customFormat="1" ht="9.9499999999999993" customHeight="1">
      <c r="A17" s="243"/>
      <c r="B17" s="248"/>
      <c r="C17" s="250" t="e">
        <f>SUM(C11:C16)</f>
        <v>#REF!</v>
      </c>
      <c r="D17" s="248"/>
      <c r="E17" s="250" t="e">
        <f>SUM(E11:E16)</f>
        <v>#REF!</v>
      </c>
      <c r="F17" s="250">
        <f>SUM(F11:F16)</f>
        <v>58453</v>
      </c>
      <c r="G17" s="345"/>
      <c r="H17" s="250">
        <f>SUM(H11:H16)</f>
        <v>68384</v>
      </c>
      <c r="J17" s="250">
        <f>SUM(J11:J16)</f>
        <v>71016</v>
      </c>
      <c r="M17" s="237">
        <v>5335716</v>
      </c>
      <c r="N17" s="246" t="e">
        <f t="shared" si="0"/>
        <v>#REF!</v>
      </c>
    </row>
    <row r="18" spans="1:14" s="237" customFormat="1" ht="9.9499999999999993" customHeight="1">
      <c r="A18" s="254" t="s">
        <v>190</v>
      </c>
      <c r="B18" s="248"/>
      <c r="C18" s="248"/>
      <c r="D18" s="248"/>
      <c r="E18" s="248"/>
      <c r="F18" s="344"/>
      <c r="G18" s="345"/>
      <c r="H18" s="344"/>
      <c r="J18" s="344"/>
      <c r="N18" s="246">
        <f t="shared" si="0"/>
        <v>0</v>
      </c>
    </row>
    <row r="19" spans="1:14" s="237" customFormat="1" ht="9.9499999999999993" customHeight="1">
      <c r="A19" s="251" t="s">
        <v>2</v>
      </c>
      <c r="B19" s="238"/>
      <c r="C19" s="238"/>
      <c r="D19" s="238"/>
      <c r="E19" s="238"/>
      <c r="F19" s="345"/>
      <c r="G19" s="344"/>
      <c r="H19" s="345"/>
      <c r="J19" s="345"/>
      <c r="N19" s="246">
        <f t="shared" si="0"/>
        <v>0</v>
      </c>
    </row>
    <row r="20" spans="1:14" s="237" customFormat="1" ht="9.9499999999999993" customHeight="1">
      <c r="A20" s="252" t="s">
        <v>1</v>
      </c>
      <c r="B20" s="244"/>
      <c r="C20" s="344" t="e">
        <f>#REF!</f>
        <v>#REF!</v>
      </c>
      <c r="D20" s="244"/>
      <c r="E20" s="345" t="e">
        <f>ROUND((C20/1000),0)</f>
        <v>#REF!</v>
      </c>
      <c r="F20" s="344"/>
      <c r="G20" s="344"/>
      <c r="H20" s="344"/>
      <c r="I20" s="246"/>
      <c r="J20" s="344"/>
      <c r="M20" s="237">
        <v>891645</v>
      </c>
      <c r="N20" s="246" t="e">
        <f t="shared" si="0"/>
        <v>#REF!</v>
      </c>
    </row>
    <row r="21" spans="1:14" s="237" customFormat="1" ht="9.9499999999999993" customHeight="1">
      <c r="A21" s="253"/>
      <c r="B21" s="248"/>
      <c r="C21" s="250" t="e">
        <f>SUM(C17:C20)</f>
        <v>#REF!</v>
      </c>
      <c r="D21" s="248"/>
      <c r="E21" s="250" t="e">
        <f>SUM(E17:E20)</f>
        <v>#REF!</v>
      </c>
      <c r="F21" s="250">
        <f>SUM(F17:F20)</f>
        <v>58453</v>
      </c>
      <c r="G21" s="345"/>
      <c r="H21" s="250">
        <f>SUM(H17:H20)</f>
        <v>68384</v>
      </c>
      <c r="I21" s="246" t="e">
        <f>E21-H21</f>
        <v>#REF!</v>
      </c>
      <c r="J21" s="250">
        <f>SUM(J17:J20)</f>
        <v>71016</v>
      </c>
      <c r="M21" s="237">
        <v>6227361</v>
      </c>
      <c r="N21" s="246" t="e">
        <f t="shared" si="0"/>
        <v>#REF!</v>
      </c>
    </row>
    <row r="22" spans="1:14" s="237" customFormat="1" ht="9.9499999999999993" customHeight="1">
      <c r="A22" s="240" t="s">
        <v>81</v>
      </c>
      <c r="B22" s="244"/>
      <c r="C22" s="244"/>
      <c r="D22" s="244"/>
      <c r="E22" s="244"/>
      <c r="F22" s="345"/>
      <c r="G22" s="345"/>
      <c r="H22" s="345"/>
      <c r="J22" s="345"/>
      <c r="N22" s="246">
        <f t="shared" si="0"/>
        <v>0</v>
      </c>
    </row>
    <row r="23" spans="1:14" s="237" customFormat="1" ht="9.9499999999999993" customHeight="1">
      <c r="A23" s="243" t="s">
        <v>21</v>
      </c>
      <c r="B23" s="244"/>
      <c r="C23" s="341" t="e">
        <f>#REF!</f>
        <v>#REF!</v>
      </c>
      <c r="D23" s="244"/>
      <c r="E23" s="341" t="e">
        <f>ROUND((C23/1000),0)</f>
        <v>#REF!</v>
      </c>
      <c r="F23" s="341"/>
      <c r="G23" s="345"/>
      <c r="H23" s="341"/>
      <c r="J23" s="341"/>
      <c r="M23" s="237">
        <v>20017</v>
      </c>
      <c r="N23" s="246" t="e">
        <f t="shared" si="0"/>
        <v>#REF!</v>
      </c>
    </row>
    <row r="24" spans="1:14" s="237" customFormat="1" ht="9.9499999999999993" customHeight="1">
      <c r="A24" s="243" t="s">
        <v>225</v>
      </c>
      <c r="B24" s="255"/>
      <c r="C24" s="342" t="e">
        <f>#REF!</f>
        <v>#REF!</v>
      </c>
      <c r="D24" s="255"/>
      <c r="E24" s="342" t="e">
        <f>ROUND((C24/1000),0)</f>
        <v>#REF!</v>
      </c>
      <c r="F24" s="342">
        <f>PLS!$C$38</f>
        <v>25147</v>
      </c>
      <c r="G24" s="344"/>
      <c r="H24" s="342">
        <f>PLS!$C$74-192</f>
        <v>18577</v>
      </c>
      <c r="J24" s="342">
        <f>PLS!$C$111-194</f>
        <v>19199</v>
      </c>
      <c r="M24" s="237">
        <v>493444</v>
      </c>
      <c r="N24" s="246" t="e">
        <f t="shared" si="0"/>
        <v>#REF!</v>
      </c>
    </row>
    <row r="25" spans="1:14" s="237" customFormat="1" ht="9.9499999999999993" customHeight="1">
      <c r="A25" s="243" t="s">
        <v>199</v>
      </c>
      <c r="B25" s="340"/>
      <c r="C25" s="342" t="e">
        <f>#REF!</f>
        <v>#REF!</v>
      </c>
      <c r="D25" s="340"/>
      <c r="E25" s="342" t="e">
        <f t="shared" ref="E25:E37" si="2">ROUND((C25/1000),0)</f>
        <v>#REF!</v>
      </c>
      <c r="F25" s="342">
        <f>PLS!$D$38</f>
        <v>4278</v>
      </c>
      <c r="G25" s="344"/>
      <c r="H25" s="342">
        <f>PLS!$D$74</f>
        <v>3193</v>
      </c>
      <c r="J25" s="342">
        <f>PLS!$D$111</f>
        <v>3299</v>
      </c>
      <c r="M25" s="237">
        <v>85859</v>
      </c>
      <c r="N25" s="246" t="e">
        <f t="shared" si="0"/>
        <v>#REF!</v>
      </c>
    </row>
    <row r="26" spans="1:14" s="237" customFormat="1" ht="9.9499999999999993" customHeight="1">
      <c r="A26" s="243" t="s">
        <v>224</v>
      </c>
      <c r="B26" s="340"/>
      <c r="C26" s="342" t="e">
        <f>#REF!</f>
        <v>#REF!</v>
      </c>
      <c r="D26" s="340"/>
      <c r="E26" s="342" t="e">
        <f t="shared" si="2"/>
        <v>#REF!</v>
      </c>
      <c r="F26" s="342">
        <f>PLS!$E$38</f>
        <v>4024</v>
      </c>
      <c r="G26" s="344"/>
      <c r="H26" s="342">
        <f>PLS!$E$74</f>
        <v>3003</v>
      </c>
      <c r="J26" s="342">
        <f>PLS!$E$111</f>
        <v>3102</v>
      </c>
      <c r="M26" s="237">
        <v>78760</v>
      </c>
      <c r="N26" s="246" t="e">
        <f t="shared" si="0"/>
        <v>#REF!</v>
      </c>
    </row>
    <row r="27" spans="1:14" s="237" customFormat="1" ht="9.9499999999999993" customHeight="1">
      <c r="A27" s="243" t="s">
        <v>156</v>
      </c>
      <c r="B27" s="244"/>
      <c r="C27" s="342" t="e">
        <f>#REF!</f>
        <v>#REF!</v>
      </c>
      <c r="D27" s="244"/>
      <c r="E27" s="342" t="e">
        <f t="shared" si="2"/>
        <v>#REF!</v>
      </c>
      <c r="F27" s="342">
        <f>PLS!$F$38</f>
        <v>558</v>
      </c>
      <c r="G27" s="344"/>
      <c r="H27" s="342">
        <f>PLS!$F$74</f>
        <v>419</v>
      </c>
      <c r="J27" s="342">
        <f>PLS!$F$111</f>
        <v>432</v>
      </c>
      <c r="M27" s="237">
        <v>46873</v>
      </c>
      <c r="N27" s="246" t="e">
        <f t="shared" si="0"/>
        <v>#REF!</v>
      </c>
    </row>
    <row r="28" spans="1:14" s="237" customFormat="1" ht="9.9499999999999993" customHeight="1">
      <c r="A28" s="243" t="s">
        <v>228</v>
      </c>
      <c r="B28" s="244"/>
      <c r="C28" s="342" t="e">
        <f>#REF!</f>
        <v>#REF!</v>
      </c>
      <c r="D28" s="244"/>
      <c r="E28" s="342" t="e">
        <f t="shared" si="2"/>
        <v>#REF!</v>
      </c>
      <c r="F28" s="342">
        <f>PLS!$G$38</f>
        <v>1773.9999999999998</v>
      </c>
      <c r="G28" s="344"/>
      <c r="H28" s="342">
        <f>PLS!$G$74</f>
        <v>1671</v>
      </c>
      <c r="J28" s="342">
        <f>PLS!$G$111</f>
        <v>1681</v>
      </c>
      <c r="M28" s="237">
        <v>20325</v>
      </c>
      <c r="N28" s="246" t="e">
        <f t="shared" si="0"/>
        <v>#REF!</v>
      </c>
    </row>
    <row r="29" spans="1:14" s="237" customFormat="1" ht="9.9499999999999993" hidden="1" customHeight="1">
      <c r="A29" s="243" t="s">
        <v>148</v>
      </c>
      <c r="B29" s="244"/>
      <c r="C29" s="342" t="e">
        <f>#REF!</f>
        <v>#REF!</v>
      </c>
      <c r="D29" s="244"/>
      <c r="E29" s="342" t="e">
        <f t="shared" si="2"/>
        <v>#REF!</v>
      </c>
      <c r="F29" s="342"/>
      <c r="G29" s="344"/>
      <c r="H29" s="342"/>
      <c r="J29" s="342"/>
      <c r="M29" s="237">
        <v>248</v>
      </c>
      <c r="N29" s="246" t="e">
        <f t="shared" si="0"/>
        <v>#REF!</v>
      </c>
    </row>
    <row r="30" spans="1:14" s="237" customFormat="1" ht="9.9499999999999993" hidden="1" customHeight="1">
      <c r="A30" s="243" t="s">
        <v>145</v>
      </c>
      <c r="B30" s="256"/>
      <c r="C30" s="342" t="e">
        <f>#REF!</f>
        <v>#REF!</v>
      </c>
      <c r="D30" s="256"/>
      <c r="E30" s="342" t="e">
        <f t="shared" si="2"/>
        <v>#REF!</v>
      </c>
      <c r="F30" s="342"/>
      <c r="G30" s="345"/>
      <c r="H30" s="342"/>
      <c r="J30" s="342"/>
      <c r="M30" s="237">
        <v>411</v>
      </c>
      <c r="N30" s="246" t="e">
        <f t="shared" si="0"/>
        <v>#REF!</v>
      </c>
    </row>
    <row r="31" spans="1:14" s="237" customFormat="1" ht="9.9499999999999993" hidden="1" customHeight="1">
      <c r="A31" s="243" t="s">
        <v>155</v>
      </c>
      <c r="B31" s="256"/>
      <c r="C31" s="342" t="e">
        <f>#REF!+#REF!+#REF!+#REF!</f>
        <v>#REF!</v>
      </c>
      <c r="D31" s="256"/>
      <c r="E31" s="342" t="e">
        <f t="shared" si="2"/>
        <v>#REF!</v>
      </c>
      <c r="F31" s="342"/>
      <c r="G31" s="345"/>
      <c r="H31" s="342"/>
      <c r="J31" s="342"/>
      <c r="M31" s="237">
        <v>1302</v>
      </c>
      <c r="N31" s="246" t="e">
        <f t="shared" si="0"/>
        <v>#REF!</v>
      </c>
    </row>
    <row r="32" spans="1:14" s="237" customFormat="1" ht="9.9499999999999993" customHeight="1">
      <c r="A32" s="243" t="s">
        <v>253</v>
      </c>
      <c r="B32" s="257"/>
      <c r="C32" s="342" t="e">
        <f>#REF!</f>
        <v>#REF!</v>
      </c>
      <c r="D32" s="257"/>
      <c r="E32" s="342" t="e">
        <f t="shared" si="2"/>
        <v>#REF!</v>
      </c>
      <c r="F32" s="342">
        <f>300+150</f>
        <v>450</v>
      </c>
      <c r="G32" s="344"/>
      <c r="H32" s="342">
        <f>75+75+75+75+150</f>
        <v>450</v>
      </c>
      <c r="J32" s="342">
        <f>300+150</f>
        <v>450</v>
      </c>
      <c r="M32" s="237">
        <v>8998</v>
      </c>
      <c r="N32" s="246" t="e">
        <f t="shared" si="0"/>
        <v>#REF!</v>
      </c>
    </row>
    <row r="33" spans="1:14" s="237" customFormat="1" ht="9.9499999999999993" customHeight="1">
      <c r="A33" s="243" t="s">
        <v>232</v>
      </c>
      <c r="B33" s="257"/>
      <c r="C33" s="342" t="e">
        <f>#REF!</f>
        <v>#REF!</v>
      </c>
      <c r="D33" s="257"/>
      <c r="E33" s="342" t="e">
        <f t="shared" si="2"/>
        <v>#REF!</v>
      </c>
      <c r="F33" s="342">
        <v>0</v>
      </c>
      <c r="G33" s="344"/>
      <c r="H33" s="342">
        <v>0</v>
      </c>
      <c r="J33" s="342">
        <v>0</v>
      </c>
      <c r="M33" s="237">
        <v>142</v>
      </c>
      <c r="N33" s="246" t="e">
        <f t="shared" si="0"/>
        <v>#REF!</v>
      </c>
    </row>
    <row r="34" spans="1:14" s="237" customFormat="1" ht="9.9499999999999993" hidden="1" customHeight="1">
      <c r="A34" s="243" t="s">
        <v>245</v>
      </c>
      <c r="B34" s="257"/>
      <c r="C34" s="342"/>
      <c r="D34" s="257"/>
      <c r="E34" s="342" t="e">
        <f>#REF!</f>
        <v>#REF!</v>
      </c>
      <c r="F34" s="342"/>
      <c r="G34" s="344"/>
      <c r="H34" s="342"/>
      <c r="J34" s="342"/>
      <c r="M34" s="237">
        <v>1000</v>
      </c>
      <c r="N34" s="246" t="e">
        <f t="shared" si="0"/>
        <v>#REF!</v>
      </c>
    </row>
    <row r="35" spans="1:14" s="237" customFormat="1" ht="9.9499999999999993" hidden="1" customHeight="1">
      <c r="A35" s="243" t="s">
        <v>234</v>
      </c>
      <c r="B35" s="257"/>
      <c r="C35" s="342" t="e">
        <f>#REF!</f>
        <v>#REF!</v>
      </c>
      <c r="D35" s="257"/>
      <c r="E35" s="342" t="e">
        <f t="shared" si="2"/>
        <v>#REF!</v>
      </c>
      <c r="F35" s="342"/>
      <c r="G35" s="344"/>
      <c r="H35" s="342"/>
      <c r="J35" s="342"/>
      <c r="M35" s="237">
        <v>599</v>
      </c>
      <c r="N35" s="246" t="e">
        <f t="shared" si="0"/>
        <v>#REF!</v>
      </c>
    </row>
    <row r="36" spans="1:14" s="237" customFormat="1" ht="9.9499999999999993" hidden="1" customHeight="1">
      <c r="A36" s="237" t="s">
        <v>8</v>
      </c>
      <c r="B36" s="244"/>
      <c r="C36" s="342" t="e">
        <f>#REF!</f>
        <v>#REF!</v>
      </c>
      <c r="D36" s="244"/>
      <c r="E36" s="342" t="e">
        <f t="shared" si="2"/>
        <v>#REF!</v>
      </c>
      <c r="F36" s="342"/>
      <c r="G36" s="345"/>
      <c r="H36" s="342"/>
      <c r="J36" s="342"/>
      <c r="M36" s="237">
        <v>1175</v>
      </c>
      <c r="N36" s="246" t="e">
        <f t="shared" si="0"/>
        <v>#REF!</v>
      </c>
    </row>
    <row r="37" spans="1:14" s="237" customFormat="1" ht="5.25" customHeight="1">
      <c r="C37" s="343" t="e">
        <f>#REF!+#REF!+#REF!</f>
        <v>#REF!</v>
      </c>
      <c r="E37" s="300" t="e">
        <f t="shared" si="2"/>
        <v>#REF!</v>
      </c>
      <c r="F37" s="343"/>
      <c r="H37" s="343"/>
      <c r="J37" s="343"/>
      <c r="M37" s="237">
        <v>269</v>
      </c>
      <c r="N37" s="246" t="e">
        <f t="shared" si="0"/>
        <v>#REF!</v>
      </c>
    </row>
    <row r="38" spans="1:14" s="237" customFormat="1" ht="9.9499999999999993" customHeight="1">
      <c r="A38" s="240"/>
      <c r="B38" s="244"/>
      <c r="C38" s="344" t="e">
        <f>SUM(C23:C37)+1</f>
        <v>#REF!</v>
      </c>
      <c r="D38" s="244"/>
      <c r="E38" s="344" t="e">
        <f>SUM(E23:E37)+1</f>
        <v>#REF!</v>
      </c>
      <c r="F38" s="344">
        <f>SUM(F23:F37)</f>
        <v>36231</v>
      </c>
      <c r="G38" s="345"/>
      <c r="H38" s="344">
        <f>SUM(H23:H37)</f>
        <v>27313</v>
      </c>
      <c r="J38" s="344">
        <f>SUM(J23:J37)</f>
        <v>28163</v>
      </c>
      <c r="M38" s="237">
        <v>759423</v>
      </c>
      <c r="N38" s="246" t="e">
        <f t="shared" si="0"/>
        <v>#REF!</v>
      </c>
    </row>
    <row r="39" spans="1:14" s="237" customFormat="1" ht="9.9499999999999993" customHeight="1">
      <c r="B39" s="244"/>
      <c r="C39" s="344"/>
      <c r="D39" s="244"/>
      <c r="E39" s="344"/>
      <c r="F39" s="344"/>
      <c r="G39" s="345"/>
      <c r="H39" s="344"/>
      <c r="I39" s="246"/>
      <c r="J39" s="344"/>
      <c r="N39" s="246">
        <f t="shared" si="0"/>
        <v>0</v>
      </c>
    </row>
    <row r="40" spans="1:14" s="237" customFormat="1" ht="9.9499999999999993" customHeight="1">
      <c r="A40" s="240" t="s">
        <v>9</v>
      </c>
      <c r="B40" s="244"/>
      <c r="C40" s="250" t="e">
        <f>C21-C38</f>
        <v>#REF!</v>
      </c>
      <c r="D40" s="244"/>
      <c r="E40" s="250" t="e">
        <f>E21-E38</f>
        <v>#REF!</v>
      </c>
      <c r="F40" s="250">
        <f>F21-F38</f>
        <v>22222</v>
      </c>
      <c r="G40" s="345"/>
      <c r="H40" s="250">
        <f>H21-H38</f>
        <v>41071</v>
      </c>
      <c r="J40" s="250">
        <f>J21-J38</f>
        <v>42853</v>
      </c>
      <c r="M40" s="237">
        <v>5467938</v>
      </c>
      <c r="N40" s="246" t="e">
        <f t="shared" si="0"/>
        <v>#REF!</v>
      </c>
    </row>
    <row r="41" spans="1:14" s="237" customFormat="1" ht="9.9499999999999993" customHeight="1">
      <c r="A41" s="240"/>
      <c r="B41" s="244"/>
      <c r="C41" s="344"/>
      <c r="D41" s="244"/>
      <c r="E41" s="344"/>
      <c r="F41" s="344"/>
      <c r="G41" s="345"/>
      <c r="H41" s="344"/>
      <c r="J41" s="344"/>
      <c r="N41" s="246">
        <f t="shared" si="0"/>
        <v>0</v>
      </c>
    </row>
    <row r="42" spans="1:14" s="237" customFormat="1" ht="9.9499999999999993" customHeight="1">
      <c r="A42" s="243" t="s">
        <v>3</v>
      </c>
      <c r="B42" s="248"/>
      <c r="C42" s="345"/>
      <c r="D42" s="248"/>
      <c r="E42" s="345"/>
      <c r="F42" s="345"/>
      <c r="G42" s="345"/>
      <c r="H42" s="345"/>
      <c r="J42" s="345"/>
      <c r="N42" s="246">
        <f t="shared" si="0"/>
        <v>0</v>
      </c>
    </row>
    <row r="43" spans="1:14" s="237" customFormat="1" ht="9.9499999999999993" customHeight="1">
      <c r="A43" s="252" t="s">
        <v>4</v>
      </c>
      <c r="B43" s="339"/>
      <c r="C43" s="345" t="e">
        <f>ROUNDUP(#REF!,0)*0+22561762</f>
        <v>#REF!</v>
      </c>
      <c r="D43" s="339"/>
      <c r="E43" s="344">
        <v>0</v>
      </c>
      <c r="F43" s="345">
        <v>0</v>
      </c>
      <c r="G43" s="345"/>
      <c r="H43" s="345">
        <v>0</v>
      </c>
      <c r="I43" s="242"/>
      <c r="J43" s="345">
        <v>0</v>
      </c>
      <c r="M43" s="237">
        <v>-160389.758</v>
      </c>
      <c r="N43" s="246">
        <f t="shared" si="0"/>
        <v>160389.758</v>
      </c>
    </row>
    <row r="44" spans="1:14" s="237" customFormat="1" ht="9.9499999999999993" customHeight="1">
      <c r="A44" s="243" t="s">
        <v>10</v>
      </c>
      <c r="B44" s="339"/>
      <c r="C44" s="345" t="e">
        <f>-#REF!</f>
        <v>#REF!</v>
      </c>
      <c r="D44" s="339"/>
      <c r="E44" s="344" t="e">
        <f>ROUND((C44/1000),0)</f>
        <v>#REF!</v>
      </c>
      <c r="F44" s="345"/>
      <c r="G44" s="345"/>
      <c r="H44" s="345"/>
      <c r="I44" s="242"/>
      <c r="J44" s="345"/>
      <c r="M44" s="237">
        <v>-104033</v>
      </c>
      <c r="N44" s="246" t="e">
        <f t="shared" si="0"/>
        <v>#REF!</v>
      </c>
    </row>
    <row r="45" spans="1:14" s="237" customFormat="1" ht="9.9499999999999993" customHeight="1">
      <c r="B45" s="244"/>
      <c r="C45" s="344"/>
      <c r="D45" s="244"/>
      <c r="E45" s="344"/>
      <c r="F45" s="344"/>
      <c r="G45" s="345"/>
      <c r="H45" s="344"/>
      <c r="I45" s="242"/>
      <c r="J45" s="344"/>
      <c r="N45" s="246">
        <f t="shared" si="0"/>
        <v>0</v>
      </c>
    </row>
    <row r="46" spans="1:14" s="237" customFormat="1" ht="9.9499999999999993" customHeight="1">
      <c r="A46" s="240" t="s">
        <v>215</v>
      </c>
      <c r="B46" s="244"/>
      <c r="C46" s="250" t="e">
        <f>ROUND(SUM(C40:C44),0)</f>
        <v>#REF!</v>
      </c>
      <c r="D46" s="244"/>
      <c r="E46" s="250" t="e">
        <f>ROUND(SUM(E40:E44),0)</f>
        <v>#REF!</v>
      </c>
      <c r="F46" s="250">
        <f>ROUND(SUM(F40:F44),0)</f>
        <v>22222</v>
      </c>
      <c r="G46" s="345"/>
      <c r="H46" s="250">
        <f>ROUND(SUM(H40:H44),0)</f>
        <v>41071</v>
      </c>
      <c r="I46" s="242">
        <f>I44+I45</f>
        <v>0</v>
      </c>
      <c r="J46" s="250">
        <f>ROUND(SUM(J40:J44),0)</f>
        <v>42853</v>
      </c>
      <c r="M46" s="237">
        <v>5203515</v>
      </c>
      <c r="N46" s="246" t="e">
        <f t="shared" si="0"/>
        <v>#REF!</v>
      </c>
    </row>
    <row r="47" spans="1:14" s="237" customFormat="1" ht="9.9499999999999993" customHeight="1">
      <c r="A47" s="240"/>
      <c r="B47" s="244"/>
      <c r="C47" s="344"/>
      <c r="D47" s="244"/>
      <c r="E47" s="344"/>
      <c r="F47" s="344"/>
      <c r="G47" s="345"/>
      <c r="H47" s="344"/>
      <c r="I47" s="242">
        <f>I46*1000</f>
        <v>0</v>
      </c>
      <c r="J47" s="344"/>
      <c r="N47" s="246">
        <f t="shared" si="0"/>
        <v>0</v>
      </c>
    </row>
    <row r="48" spans="1:14" s="237" customFormat="1" ht="9.9499999999999993" customHeight="1">
      <c r="A48" s="237" t="s">
        <v>95</v>
      </c>
      <c r="B48" s="258"/>
      <c r="C48" s="344">
        <v>0</v>
      </c>
      <c r="D48" s="258"/>
      <c r="E48" s="344">
        <v>0</v>
      </c>
      <c r="F48" s="344">
        <v>0</v>
      </c>
      <c r="G48" s="345"/>
      <c r="H48" s="344">
        <v>0</v>
      </c>
      <c r="J48" s="344">
        <v>0</v>
      </c>
      <c r="M48" s="237">
        <v>0</v>
      </c>
      <c r="N48" s="246">
        <f t="shared" si="0"/>
        <v>0</v>
      </c>
    </row>
    <row r="49" spans="1:206" s="237" customFormat="1" ht="9.9499999999999993" customHeight="1">
      <c r="B49" s="244"/>
      <c r="C49" s="344"/>
      <c r="D49" s="244"/>
      <c r="E49" s="344"/>
      <c r="F49" s="344"/>
      <c r="G49" s="345"/>
      <c r="H49" s="344"/>
      <c r="J49" s="344"/>
      <c r="N49" s="246">
        <f t="shared" si="0"/>
        <v>0</v>
      </c>
    </row>
    <row r="50" spans="1:206" s="237" customFormat="1" ht="9.9499999999999993" customHeight="1" thickBot="1">
      <c r="A50" s="240" t="s">
        <v>216</v>
      </c>
      <c r="B50" s="259"/>
      <c r="C50" s="260" t="e">
        <f>C46-C48</f>
        <v>#REF!</v>
      </c>
      <c r="D50" s="259"/>
      <c r="E50" s="260" t="e">
        <f>E46-E48</f>
        <v>#REF!</v>
      </c>
      <c r="F50" s="260">
        <f>F46-F48</f>
        <v>22222</v>
      </c>
      <c r="G50" s="261"/>
      <c r="H50" s="260">
        <f>H46-H48</f>
        <v>41071</v>
      </c>
      <c r="I50" s="246" t="e">
        <f>E50-#REF!</f>
        <v>#REF!</v>
      </c>
      <c r="J50" s="260">
        <f>J46-J48</f>
        <v>42853</v>
      </c>
      <c r="M50" s="237">
        <v>5203515</v>
      </c>
      <c r="N50" s="246" t="e">
        <f t="shared" si="0"/>
        <v>#REF!</v>
      </c>
    </row>
    <row r="51" spans="1:206" s="262" customFormat="1" ht="9.9499999999999993" customHeight="1" thickTop="1">
      <c r="A51" s="263"/>
      <c r="B51" s="259"/>
      <c r="C51" s="259"/>
      <c r="D51" s="259"/>
      <c r="E51" s="259"/>
      <c r="F51" s="264"/>
      <c r="G51" s="261"/>
      <c r="N51" s="246">
        <f t="shared" si="0"/>
        <v>0</v>
      </c>
    </row>
    <row r="52" spans="1:206" s="262" customFormat="1" ht="9.9499999999999993" customHeight="1">
      <c r="A52" s="265" t="s">
        <v>217</v>
      </c>
      <c r="B52" s="258"/>
      <c r="C52" s="258"/>
      <c r="D52" s="258"/>
      <c r="E52" s="258"/>
      <c r="F52" s="266">
        <f>F50*2%</f>
        <v>444.44</v>
      </c>
      <c r="G52" s="241"/>
      <c r="H52" s="266">
        <f>H50*2%</f>
        <v>821.42000000000007</v>
      </c>
      <c r="J52" s="266">
        <f>J50*2%</f>
        <v>857.06000000000006</v>
      </c>
      <c r="N52" s="246">
        <f t="shared" si="0"/>
        <v>0</v>
      </c>
    </row>
    <row r="53" spans="1:206" s="237" customFormat="1" ht="9.9499999999999993" customHeight="1">
      <c r="B53" s="238"/>
      <c r="C53" s="238"/>
      <c r="D53" s="238"/>
      <c r="E53" s="396" t="s">
        <v>226</v>
      </c>
      <c r="F53" s="396" t="s">
        <v>226</v>
      </c>
      <c r="G53" s="389"/>
      <c r="M53" s="237" t="s">
        <v>226</v>
      </c>
      <c r="N53" s="246" t="e">
        <f t="shared" si="0"/>
        <v>#VALUE!</v>
      </c>
    </row>
    <row r="54" spans="1:206" s="237" customFormat="1" ht="9.9499999999999993" customHeight="1">
      <c r="B54" s="238"/>
      <c r="C54" s="238"/>
      <c r="D54" s="238"/>
      <c r="E54" s="238"/>
      <c r="F54" s="388"/>
      <c r="G54" s="389"/>
      <c r="N54" s="246">
        <f t="shared" si="0"/>
        <v>0</v>
      </c>
    </row>
    <row r="55" spans="1:206" s="237" customFormat="1" ht="9.9499999999999993" customHeight="1" thickBot="1">
      <c r="A55" s="397" t="s">
        <v>217</v>
      </c>
      <c r="B55" s="398"/>
      <c r="C55" s="399" t="e">
        <f>C50/C59</f>
        <v>#REF!</v>
      </c>
      <c r="D55" s="398"/>
      <c r="E55" s="399" t="e">
        <f>E50/(E59/1000)</f>
        <v>#REF!</v>
      </c>
      <c r="F55" s="399" t="e">
        <f>#REF!</f>
        <v>#REF!</v>
      </c>
      <c r="G55" s="245"/>
      <c r="H55" s="344"/>
      <c r="I55" s="344"/>
      <c r="J55" s="344"/>
      <c r="K55" s="344"/>
      <c r="L55" s="344"/>
      <c r="M55" s="267">
        <v>4.8409547113501228</v>
      </c>
      <c r="N55" s="249" t="e">
        <f t="shared" si="0"/>
        <v>#REF!</v>
      </c>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344"/>
      <c r="DM55" s="344"/>
      <c r="DN55" s="344"/>
      <c r="DO55" s="344"/>
      <c r="DP55" s="344"/>
      <c r="DQ55" s="344"/>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4"/>
      <c r="FM55" s="344"/>
      <c r="FN55" s="344"/>
      <c r="FO55" s="344"/>
      <c r="FP55" s="344"/>
      <c r="FQ55" s="344"/>
      <c r="FR55" s="344"/>
      <c r="FS55" s="344"/>
      <c r="FT55" s="344"/>
      <c r="FU55" s="344"/>
      <c r="FV55" s="344"/>
      <c r="FW55" s="344"/>
      <c r="FX55" s="344"/>
      <c r="FY55" s="344"/>
      <c r="FZ55" s="344"/>
      <c r="GA55" s="344"/>
      <c r="GB55" s="344"/>
      <c r="GC55" s="344"/>
      <c r="GD55" s="344"/>
      <c r="GE55" s="344"/>
      <c r="GF55" s="344"/>
      <c r="GG55" s="344"/>
      <c r="GH55" s="344"/>
      <c r="GI55" s="344"/>
      <c r="GJ55" s="344"/>
      <c r="GK55" s="344"/>
      <c r="GL55" s="344"/>
      <c r="GM55" s="344"/>
      <c r="GN55" s="344"/>
      <c r="GO55" s="344"/>
      <c r="GP55" s="344"/>
      <c r="GQ55" s="344"/>
      <c r="GR55" s="344"/>
      <c r="GS55" s="344"/>
      <c r="GT55" s="344"/>
      <c r="GU55" s="344"/>
      <c r="GV55" s="344"/>
      <c r="GW55" s="344"/>
      <c r="GX55" s="344"/>
    </row>
    <row r="56" spans="1:206" s="237" customFormat="1" ht="9.9499999999999993" customHeight="1" thickTop="1">
      <c r="B56" s="238"/>
      <c r="C56" s="245"/>
      <c r="D56" s="238"/>
      <c r="E56" s="245"/>
      <c r="F56" s="245"/>
      <c r="G56" s="245"/>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CZ56" s="344"/>
      <c r="DA56" s="344"/>
      <c r="DB56" s="344"/>
      <c r="DC56" s="344"/>
      <c r="DD56" s="344"/>
      <c r="DE56" s="344"/>
      <c r="DF56" s="344"/>
      <c r="DG56" s="344"/>
      <c r="DH56" s="344"/>
      <c r="DI56" s="344"/>
      <c r="DJ56" s="344"/>
      <c r="DK56" s="344"/>
      <c r="DL56" s="344"/>
      <c r="DM56" s="344"/>
      <c r="DN56" s="344"/>
      <c r="DO56" s="344"/>
      <c r="DP56" s="344"/>
      <c r="DQ56" s="344"/>
      <c r="DR56" s="344"/>
      <c r="DS56" s="344"/>
      <c r="DT56" s="344"/>
      <c r="DU56" s="344"/>
      <c r="DV56" s="344"/>
      <c r="DW56" s="344"/>
      <c r="DX56" s="344"/>
      <c r="DY56" s="344"/>
      <c r="DZ56" s="344"/>
      <c r="EA56" s="344"/>
      <c r="EB56" s="344"/>
      <c r="EC56" s="344"/>
      <c r="ED56" s="344"/>
      <c r="EE56" s="344"/>
      <c r="EF56" s="344"/>
      <c r="EG56" s="344"/>
      <c r="EH56" s="344"/>
      <c r="EI56" s="344"/>
      <c r="EJ56" s="344"/>
      <c r="EK56" s="344"/>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344"/>
      <c r="FK56" s="344"/>
      <c r="FL56" s="344"/>
      <c r="FM56" s="344"/>
      <c r="FN56" s="344"/>
      <c r="FO56" s="344"/>
      <c r="FP56" s="344"/>
      <c r="FQ56" s="344"/>
      <c r="FR56" s="344"/>
      <c r="FS56" s="344"/>
      <c r="FT56" s="344"/>
      <c r="FU56" s="344"/>
      <c r="FV56" s="344"/>
      <c r="FW56" s="344"/>
      <c r="FX56" s="344"/>
      <c r="FY56" s="344"/>
      <c r="FZ56" s="344"/>
      <c r="GA56" s="344"/>
      <c r="GB56" s="344"/>
      <c r="GC56" s="344"/>
      <c r="GD56" s="344"/>
      <c r="GE56" s="344"/>
      <c r="GF56" s="344"/>
      <c r="GG56" s="344"/>
      <c r="GH56" s="344"/>
      <c r="GI56" s="344"/>
      <c r="GJ56" s="344"/>
      <c r="GK56" s="344"/>
      <c r="GL56" s="344"/>
      <c r="GM56" s="344"/>
      <c r="GN56" s="344"/>
      <c r="GO56" s="344"/>
      <c r="GP56" s="344"/>
      <c r="GQ56" s="344"/>
      <c r="GR56" s="344"/>
      <c r="GS56" s="344"/>
      <c r="GT56" s="344"/>
      <c r="GU56" s="344"/>
      <c r="GV56" s="344"/>
      <c r="GW56" s="344"/>
      <c r="GX56" s="344"/>
    </row>
    <row r="57" spans="1:206" s="237" customFormat="1" ht="9.9499999999999993" customHeight="1">
      <c r="A57" s="240" t="s">
        <v>246</v>
      </c>
      <c r="B57" s="238"/>
      <c r="C57" s="245" t="e">
        <f>C50-C20</f>
        <v>#REF!</v>
      </c>
      <c r="D57" s="238"/>
      <c r="E57" s="245" t="e">
        <f>E50-E12</f>
        <v>#REF!</v>
      </c>
      <c r="F57" s="245">
        <f>F50-F20</f>
        <v>22222</v>
      </c>
      <c r="G57" s="245"/>
      <c r="H57" s="344" t="e">
        <f>E50-E12</f>
        <v>#REF!</v>
      </c>
      <c r="I57" s="344"/>
      <c r="J57" s="344"/>
      <c r="K57" s="344"/>
      <c r="L57" s="344"/>
      <c r="M57" s="267">
        <v>4311870</v>
      </c>
      <c r="N57" s="249" t="e">
        <f>E57-M57</f>
        <v>#REF!</v>
      </c>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CZ57" s="344"/>
      <c r="DA57" s="344"/>
      <c r="DB57" s="344"/>
      <c r="DC57" s="344"/>
      <c r="DD57" s="344"/>
      <c r="DE57" s="344"/>
      <c r="DF57" s="344"/>
      <c r="DG57" s="344"/>
      <c r="DH57" s="344"/>
      <c r="DI57" s="344"/>
      <c r="DJ57" s="344"/>
      <c r="DK57" s="344"/>
      <c r="DL57" s="344"/>
      <c r="DM57" s="344"/>
      <c r="DN57" s="344"/>
      <c r="DO57" s="344"/>
      <c r="DP57" s="344"/>
      <c r="DQ57" s="344"/>
      <c r="DR57" s="344"/>
      <c r="DS57" s="344"/>
      <c r="DT57" s="344"/>
      <c r="DU57" s="344"/>
      <c r="DV57" s="344"/>
      <c r="DW57" s="344"/>
      <c r="DX57" s="344"/>
      <c r="DY57" s="344"/>
      <c r="DZ57" s="344"/>
      <c r="EA57" s="344"/>
      <c r="EB57" s="344"/>
      <c r="EC57" s="344"/>
      <c r="ED57" s="344"/>
      <c r="EE57" s="344"/>
      <c r="EF57" s="344"/>
      <c r="EG57" s="344"/>
      <c r="EH57" s="344"/>
      <c r="EI57" s="344"/>
      <c r="EJ57" s="344"/>
      <c r="EK57" s="344"/>
      <c r="EL57" s="344"/>
      <c r="EM57" s="344"/>
      <c r="EN57" s="344"/>
      <c r="EO57" s="344"/>
      <c r="EP57" s="344"/>
      <c r="EQ57" s="344"/>
      <c r="ER57" s="344"/>
      <c r="ES57" s="344"/>
      <c r="ET57" s="344"/>
      <c r="EU57" s="344"/>
      <c r="EV57" s="344"/>
      <c r="EW57" s="344"/>
      <c r="EX57" s="344"/>
      <c r="EY57" s="344"/>
      <c r="EZ57" s="344"/>
      <c r="FA57" s="344"/>
      <c r="FB57" s="344"/>
      <c r="FC57" s="344"/>
      <c r="FD57" s="344"/>
      <c r="FE57" s="344"/>
      <c r="FF57" s="344"/>
      <c r="FG57" s="344"/>
      <c r="FH57" s="344"/>
      <c r="FI57" s="344"/>
      <c r="FJ57" s="344"/>
      <c r="FK57" s="344"/>
      <c r="FL57" s="344"/>
      <c r="FM57" s="344"/>
      <c r="FN57" s="344"/>
      <c r="FO57" s="344"/>
      <c r="FP57" s="344"/>
      <c r="FQ57" s="344"/>
      <c r="FR57" s="344"/>
      <c r="FS57" s="344"/>
      <c r="FT57" s="344"/>
      <c r="FU57" s="344"/>
      <c r="FV57" s="344"/>
      <c r="FW57" s="344"/>
      <c r="FX57" s="344"/>
      <c r="FY57" s="344"/>
      <c r="FZ57" s="344"/>
      <c r="GA57" s="344"/>
      <c r="GB57" s="344"/>
      <c r="GC57" s="344"/>
      <c r="GD57" s="344"/>
      <c r="GE57" s="344"/>
      <c r="GF57" s="344"/>
      <c r="GG57" s="344"/>
      <c r="GH57" s="344"/>
      <c r="GI57" s="344"/>
      <c r="GJ57" s="344"/>
      <c r="GK57" s="344"/>
      <c r="GL57" s="344"/>
      <c r="GM57" s="344"/>
      <c r="GN57" s="344"/>
      <c r="GO57" s="344"/>
      <c r="GP57" s="344"/>
      <c r="GQ57" s="344"/>
      <c r="GR57" s="344"/>
      <c r="GS57" s="344"/>
      <c r="GT57" s="344"/>
      <c r="GU57" s="344"/>
      <c r="GV57" s="344"/>
      <c r="GW57" s="344"/>
      <c r="GX57" s="344"/>
    </row>
    <row r="58" spans="1:206" s="237" customFormat="1" ht="9.9499999999999993" customHeight="1">
      <c r="B58" s="238"/>
      <c r="C58" s="245"/>
      <c r="D58" s="238"/>
      <c r="E58" s="245"/>
      <c r="F58" s="245"/>
      <c r="G58" s="245"/>
      <c r="H58" s="344"/>
      <c r="I58" s="344"/>
      <c r="J58" s="344"/>
      <c r="K58" s="344"/>
      <c r="L58" s="344"/>
      <c r="M58" s="267"/>
      <c r="N58" s="249">
        <f>E58-M58</f>
        <v>0</v>
      </c>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CZ58" s="344"/>
      <c r="DA58" s="344"/>
      <c r="DB58" s="344"/>
      <c r="DC58" s="344"/>
      <c r="DD58" s="344"/>
      <c r="DE58" s="344"/>
      <c r="DF58" s="344"/>
      <c r="DG58" s="344"/>
      <c r="DH58" s="344"/>
      <c r="DI58" s="344"/>
      <c r="DJ58" s="344"/>
      <c r="DK58" s="344"/>
      <c r="DL58" s="344"/>
      <c r="DM58" s="344"/>
      <c r="DN58" s="344"/>
      <c r="DO58" s="344"/>
      <c r="DP58" s="344"/>
      <c r="DQ58" s="344"/>
      <c r="DR58" s="344"/>
      <c r="DS58" s="344"/>
      <c r="DT58" s="344"/>
      <c r="DU58" s="344"/>
      <c r="DV58" s="344"/>
      <c r="DW58" s="344"/>
      <c r="DX58" s="344"/>
      <c r="DY58" s="344"/>
      <c r="DZ58" s="344"/>
      <c r="EA58" s="344"/>
      <c r="EB58" s="344"/>
      <c r="EC58" s="344"/>
      <c r="ED58" s="344"/>
      <c r="EE58" s="344"/>
      <c r="EF58" s="344"/>
      <c r="EG58" s="344"/>
      <c r="EH58" s="344"/>
      <c r="EI58" s="344"/>
      <c r="EJ58" s="344"/>
      <c r="EK58" s="344"/>
      <c r="EL58" s="344"/>
      <c r="EM58" s="344"/>
      <c r="EN58" s="344"/>
      <c r="EO58" s="344"/>
      <c r="EP58" s="344"/>
      <c r="EQ58" s="344"/>
      <c r="ER58" s="344"/>
      <c r="ES58" s="344"/>
      <c r="ET58" s="344"/>
      <c r="EU58" s="344"/>
      <c r="EV58" s="344"/>
      <c r="EW58" s="344"/>
      <c r="EX58" s="344"/>
      <c r="EY58" s="344"/>
      <c r="EZ58" s="344"/>
      <c r="FA58" s="344"/>
      <c r="FB58" s="344"/>
      <c r="FC58" s="344"/>
      <c r="FD58" s="344"/>
      <c r="FE58" s="344"/>
      <c r="FF58" s="344"/>
      <c r="FG58" s="344"/>
      <c r="FH58" s="344"/>
      <c r="FI58" s="344"/>
      <c r="FJ58" s="344"/>
      <c r="FK58" s="344"/>
      <c r="FL58" s="344"/>
      <c r="FM58" s="344"/>
      <c r="FN58" s="344"/>
      <c r="FO58" s="344"/>
      <c r="FP58" s="344"/>
      <c r="FQ58" s="344"/>
      <c r="FR58" s="344"/>
      <c r="FS58" s="344"/>
      <c r="FT58" s="344"/>
      <c r="FU58" s="344"/>
      <c r="FV58" s="344"/>
      <c r="FW58" s="344"/>
      <c r="FX58" s="344"/>
      <c r="FY58" s="344"/>
      <c r="FZ58" s="344"/>
      <c r="GA58" s="344"/>
      <c r="GB58" s="344"/>
      <c r="GC58" s="344"/>
      <c r="GD58" s="344"/>
      <c r="GE58" s="344"/>
      <c r="GF58" s="344"/>
      <c r="GG58" s="344"/>
      <c r="GH58" s="344"/>
      <c r="GI58" s="344"/>
      <c r="GJ58" s="344"/>
      <c r="GK58" s="344"/>
      <c r="GL58" s="344"/>
      <c r="GM58" s="344"/>
      <c r="GN58" s="344"/>
      <c r="GO58" s="344"/>
      <c r="GP58" s="344"/>
      <c r="GQ58" s="344"/>
      <c r="GR58" s="344"/>
      <c r="GS58" s="344"/>
      <c r="GT58" s="344"/>
      <c r="GU58" s="344"/>
      <c r="GV58" s="344"/>
      <c r="GW58" s="344"/>
      <c r="GX58" s="344"/>
    </row>
    <row r="59" spans="1:206" s="237" customFormat="1" ht="9.9499999999999993" customHeight="1">
      <c r="A59" s="385" t="s">
        <v>125</v>
      </c>
      <c r="B59" s="238"/>
      <c r="C59" s="345" t="e">
        <f>#REF!</f>
        <v>#REF!</v>
      </c>
      <c r="D59" s="238"/>
      <c r="E59" s="345" t="e">
        <f>C59</f>
        <v>#REF!</v>
      </c>
      <c r="F59" s="345" t="e">
        <f>#REF!*1000</f>
        <v>#REF!</v>
      </c>
      <c r="G59" s="245"/>
      <c r="H59" s="344" t="e">
        <f>E59</f>
        <v>#REF!</v>
      </c>
      <c r="I59" s="344"/>
      <c r="J59" s="344"/>
      <c r="K59" s="344"/>
      <c r="L59" s="344"/>
      <c r="M59" s="267">
        <v>1074894377.3011999</v>
      </c>
      <c r="N59" s="249" t="e">
        <f>E59-M59</f>
        <v>#REF!</v>
      </c>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CZ59" s="344"/>
      <c r="DA59" s="344"/>
      <c r="DB59" s="344"/>
      <c r="DC59" s="344"/>
      <c r="DD59" s="344"/>
      <c r="DE59" s="344"/>
      <c r="DF59" s="344"/>
      <c r="DG59" s="344"/>
      <c r="DH59" s="344"/>
      <c r="DI59" s="344"/>
      <c r="DJ59" s="344"/>
      <c r="DK59" s="344"/>
      <c r="DL59" s="344"/>
      <c r="DM59" s="344"/>
      <c r="DN59" s="344"/>
      <c r="DO59" s="344"/>
      <c r="DP59" s="344"/>
      <c r="DQ59" s="344"/>
      <c r="DR59" s="344"/>
      <c r="DS59" s="344"/>
      <c r="DT59" s="344"/>
      <c r="DU59" s="344"/>
      <c r="DV59" s="344"/>
      <c r="DW59" s="344"/>
      <c r="DX59" s="344"/>
      <c r="DY59" s="344"/>
      <c r="DZ59" s="344"/>
      <c r="EA59" s="344"/>
      <c r="EB59" s="344"/>
      <c r="EC59" s="344"/>
      <c r="ED59" s="344"/>
      <c r="EE59" s="344"/>
      <c r="EF59" s="344"/>
      <c r="EG59" s="344"/>
      <c r="EH59" s="344"/>
      <c r="EI59" s="344"/>
      <c r="EJ59" s="344"/>
      <c r="EK59" s="344"/>
      <c r="EL59" s="344"/>
      <c r="EM59" s="344"/>
      <c r="EN59" s="344"/>
      <c r="EO59" s="344"/>
      <c r="EP59" s="344"/>
      <c r="EQ59" s="344"/>
      <c r="ER59" s="344"/>
      <c r="ES59" s="344"/>
      <c r="ET59" s="344"/>
      <c r="EU59" s="344"/>
      <c r="EV59" s="344"/>
      <c r="EW59" s="344"/>
      <c r="EX59" s="344"/>
      <c r="EY59" s="344"/>
      <c r="EZ59" s="344"/>
      <c r="FA59" s="344"/>
      <c r="FB59" s="344"/>
      <c r="FC59" s="344"/>
      <c r="FD59" s="344"/>
      <c r="FE59" s="344"/>
      <c r="FF59" s="344"/>
      <c r="FG59" s="344"/>
      <c r="FH59" s="344"/>
      <c r="FI59" s="344"/>
      <c r="FJ59" s="344"/>
      <c r="FK59" s="344"/>
      <c r="FL59" s="344"/>
      <c r="FM59" s="344"/>
      <c r="FN59" s="344"/>
      <c r="FO59" s="344"/>
      <c r="FP59" s="344"/>
      <c r="FQ59" s="344"/>
      <c r="FR59" s="344"/>
      <c r="FS59" s="344"/>
      <c r="FT59" s="344"/>
      <c r="FU59" s="344"/>
      <c r="FV59" s="344"/>
      <c r="FW59" s="344"/>
      <c r="FX59" s="344"/>
      <c r="FY59" s="344"/>
      <c r="FZ59" s="344"/>
      <c r="GA59" s="344"/>
      <c r="GB59" s="344"/>
      <c r="GC59" s="344"/>
      <c r="GD59" s="344"/>
      <c r="GE59" s="344"/>
      <c r="GF59" s="344"/>
      <c r="GG59" s="344"/>
      <c r="GH59" s="344"/>
      <c r="GI59" s="344"/>
      <c r="GJ59" s="344"/>
      <c r="GK59" s="344"/>
      <c r="GL59" s="344"/>
      <c r="GM59" s="344"/>
      <c r="GN59" s="344"/>
      <c r="GO59" s="344"/>
      <c r="GP59" s="344"/>
      <c r="GQ59" s="344"/>
      <c r="GR59" s="344"/>
      <c r="GS59" s="344"/>
      <c r="GT59" s="344"/>
      <c r="GU59" s="344"/>
      <c r="GV59" s="344"/>
      <c r="GW59" s="344"/>
      <c r="GX59" s="344"/>
    </row>
    <row r="60" spans="1:206" s="237" customFormat="1" ht="9.9499999999999993" customHeight="1">
      <c r="A60" s="440" t="s">
        <v>250</v>
      </c>
      <c r="B60" s="438"/>
      <c r="C60" s="439"/>
      <c r="D60" s="438"/>
      <c r="E60" s="448" t="e">
        <f>(E50-E12-E20)/(E59/1000)</f>
        <v>#REF!</v>
      </c>
      <c r="F60" s="245"/>
      <c r="G60" s="245"/>
      <c r="H60" s="344"/>
      <c r="I60" s="344"/>
      <c r="J60" s="344"/>
      <c r="K60" s="344"/>
      <c r="L60" s="344"/>
      <c r="M60" s="267"/>
      <c r="N60" s="249" t="e">
        <f>E60-M60</f>
        <v>#REF!</v>
      </c>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CZ60" s="344"/>
      <c r="DA60" s="344"/>
      <c r="DB60" s="344"/>
      <c r="DC60" s="344"/>
      <c r="DD60" s="344"/>
      <c r="DE60" s="344"/>
      <c r="DF60" s="344"/>
      <c r="DG60" s="344"/>
      <c r="DH60" s="344"/>
      <c r="DI60" s="344"/>
      <c r="DJ60" s="344"/>
      <c r="DK60" s="344"/>
      <c r="DL60" s="344"/>
      <c r="DM60" s="344"/>
      <c r="DN60" s="344"/>
      <c r="DO60" s="344"/>
      <c r="DP60" s="344"/>
      <c r="DQ60" s="344"/>
      <c r="DR60" s="344"/>
      <c r="DS60" s="344"/>
      <c r="DT60" s="344"/>
      <c r="DU60" s="344"/>
      <c r="DV60" s="344"/>
      <c r="DW60" s="344"/>
      <c r="DX60" s="344"/>
      <c r="DY60" s="344"/>
      <c r="DZ60" s="344"/>
      <c r="EA60" s="344"/>
      <c r="EB60" s="344"/>
      <c r="EC60" s="344"/>
      <c r="ED60" s="344"/>
      <c r="EE60" s="344"/>
      <c r="EF60" s="344"/>
      <c r="EG60" s="344"/>
      <c r="EH60" s="344"/>
      <c r="EI60" s="344"/>
      <c r="EJ60" s="344"/>
      <c r="EK60" s="344"/>
      <c r="EL60" s="344"/>
      <c r="EM60" s="344"/>
      <c r="EN60" s="344"/>
      <c r="EO60" s="344"/>
      <c r="EP60" s="344"/>
      <c r="EQ60" s="344"/>
      <c r="ER60" s="344"/>
      <c r="ES60" s="344"/>
      <c r="ET60" s="344"/>
      <c r="EU60" s="344"/>
      <c r="EV60" s="344"/>
      <c r="EW60" s="344"/>
      <c r="EX60" s="344"/>
      <c r="EY60" s="344"/>
      <c r="EZ60" s="344"/>
      <c r="FA60" s="344"/>
      <c r="FB60" s="344"/>
      <c r="FC60" s="344"/>
      <c r="FD60" s="344"/>
      <c r="FE60" s="344"/>
      <c r="FF60" s="344"/>
      <c r="FG60" s="344"/>
      <c r="FH60" s="344"/>
      <c r="FI60" s="344"/>
      <c r="FJ60" s="344"/>
      <c r="FK60" s="344"/>
      <c r="FL60" s="344"/>
      <c r="FM60" s="344"/>
      <c r="FN60" s="344"/>
      <c r="FO60" s="344"/>
      <c r="FP60" s="344"/>
      <c r="FQ60" s="344"/>
      <c r="FR60" s="344"/>
      <c r="FS60" s="344"/>
      <c r="FT60" s="344"/>
      <c r="FU60" s="344"/>
      <c r="FV60" s="344"/>
      <c r="FW60" s="344"/>
      <c r="FX60" s="344"/>
      <c r="FY60" s="344"/>
      <c r="FZ60" s="344"/>
      <c r="GA60" s="344"/>
      <c r="GB60" s="344"/>
      <c r="GC60" s="344"/>
      <c r="GD60" s="344"/>
      <c r="GE60" s="344"/>
      <c r="GF60" s="344"/>
      <c r="GG60" s="344"/>
      <c r="GH60" s="344"/>
      <c r="GI60" s="344"/>
      <c r="GJ60" s="344"/>
      <c r="GK60" s="344"/>
      <c r="GL60" s="344"/>
      <c r="GM60" s="344"/>
      <c r="GN60" s="344"/>
      <c r="GO60" s="344"/>
      <c r="GP60" s="344"/>
      <c r="GQ60" s="344"/>
      <c r="GR60" s="344"/>
      <c r="GS60" s="344"/>
      <c r="GT60" s="344"/>
      <c r="GU60" s="344"/>
      <c r="GV60" s="344"/>
      <c r="GW60" s="344"/>
      <c r="GX60" s="344"/>
    </row>
    <row r="61" spans="1:206" s="237" customFormat="1" ht="10.5" hidden="1" thickBot="1">
      <c r="A61" s="440" t="s">
        <v>248</v>
      </c>
      <c r="B61" s="441"/>
      <c r="C61" s="386" t="e">
        <f>C57/(C59)</f>
        <v>#REF!</v>
      </c>
      <c r="D61" s="441"/>
      <c r="E61" s="442" t="e">
        <f>E57/(E59/1000)</f>
        <v>#REF!</v>
      </c>
      <c r="F61" s="386" t="e">
        <f>F57/(F59/1000)</f>
        <v>#REF!</v>
      </c>
      <c r="G61" s="245"/>
      <c r="H61" s="386" t="e">
        <f>H57/(H59/1000)</f>
        <v>#REF!</v>
      </c>
      <c r="I61" s="344"/>
      <c r="J61" s="344"/>
      <c r="K61" s="344"/>
      <c r="L61" s="344"/>
      <c r="M61" s="267">
        <v>4.0114359987872152</v>
      </c>
      <c r="N61" s="249" t="e">
        <f>E61-M61</f>
        <v>#REF!</v>
      </c>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CZ61" s="344"/>
      <c r="DA61" s="344"/>
      <c r="DB61" s="344"/>
      <c r="DC61" s="344"/>
      <c r="DD61" s="344"/>
      <c r="DE61" s="344"/>
      <c r="DF61" s="344"/>
      <c r="DG61" s="344"/>
      <c r="DH61" s="344"/>
      <c r="DI61" s="344"/>
      <c r="DJ61" s="344"/>
      <c r="DK61" s="344"/>
      <c r="DL61" s="344"/>
      <c r="DM61" s="344"/>
      <c r="DN61" s="344"/>
      <c r="DO61" s="344"/>
      <c r="DP61" s="344"/>
      <c r="DQ61" s="344"/>
      <c r="DR61" s="344"/>
      <c r="DS61" s="344"/>
      <c r="DT61" s="344"/>
      <c r="DU61" s="344"/>
      <c r="DV61" s="344"/>
      <c r="DW61" s="344"/>
      <c r="DX61" s="344"/>
      <c r="DY61" s="344"/>
      <c r="DZ61" s="344"/>
      <c r="EA61" s="344"/>
      <c r="EB61" s="344"/>
      <c r="EC61" s="344"/>
      <c r="ED61" s="344"/>
      <c r="EE61" s="344"/>
      <c r="EF61" s="344"/>
      <c r="EG61" s="344"/>
      <c r="EH61" s="344"/>
      <c r="EI61" s="344"/>
      <c r="EJ61" s="344"/>
      <c r="EK61" s="344"/>
      <c r="EL61" s="344"/>
      <c r="EM61" s="344"/>
      <c r="EN61" s="344"/>
      <c r="EO61" s="344"/>
      <c r="EP61" s="344"/>
      <c r="EQ61" s="344"/>
      <c r="ER61" s="344"/>
      <c r="ES61" s="344"/>
      <c r="ET61" s="344"/>
      <c r="EU61" s="344"/>
      <c r="EV61" s="344"/>
      <c r="EW61" s="344"/>
      <c r="EX61" s="344"/>
      <c r="EY61" s="344"/>
      <c r="EZ61" s="344"/>
      <c r="FA61" s="344"/>
      <c r="FB61" s="344"/>
      <c r="FC61" s="344"/>
      <c r="FD61" s="344"/>
      <c r="FE61" s="344"/>
      <c r="FF61" s="344"/>
      <c r="FG61" s="344"/>
      <c r="FH61" s="344"/>
      <c r="FI61" s="344"/>
      <c r="FJ61" s="344"/>
      <c r="FK61" s="344"/>
      <c r="FL61" s="344"/>
      <c r="FM61" s="344"/>
      <c r="FN61" s="344"/>
      <c r="FO61" s="344"/>
      <c r="FP61" s="344"/>
      <c r="FQ61" s="344"/>
      <c r="FR61" s="344"/>
      <c r="FS61" s="344"/>
      <c r="FT61" s="344"/>
      <c r="FU61" s="344"/>
      <c r="FV61" s="344"/>
      <c r="FW61" s="344"/>
      <c r="FX61" s="344"/>
      <c r="FY61" s="344"/>
      <c r="FZ61" s="344"/>
      <c r="GA61" s="344"/>
      <c r="GB61" s="344"/>
      <c r="GC61" s="344"/>
      <c r="GD61" s="344"/>
      <c r="GE61" s="344"/>
      <c r="GF61" s="344"/>
      <c r="GG61" s="344"/>
      <c r="GH61" s="344"/>
      <c r="GI61" s="344"/>
      <c r="GJ61" s="344"/>
      <c r="GK61" s="344"/>
      <c r="GL61" s="344"/>
      <c r="GM61" s="344"/>
      <c r="GN61" s="344"/>
      <c r="GO61" s="344"/>
      <c r="GP61" s="344"/>
      <c r="GQ61" s="344"/>
      <c r="GR61" s="344"/>
      <c r="GS61" s="344"/>
      <c r="GT61" s="344"/>
      <c r="GU61" s="344"/>
      <c r="GV61" s="344"/>
      <c r="GW61" s="344"/>
      <c r="GX61" s="344"/>
    </row>
    <row r="62" spans="1:206" s="237" customFormat="1" ht="10.5" thickBot="1">
      <c r="A62" s="440" t="s">
        <v>247</v>
      </c>
      <c r="B62" s="441"/>
      <c r="C62" s="437"/>
      <c r="D62" s="441"/>
      <c r="E62" s="442" t="e">
        <f>(E50-E20)/(E59/1000)</f>
        <v>#REF!</v>
      </c>
      <c r="F62" s="437"/>
      <c r="G62" s="245"/>
      <c r="H62" s="437"/>
      <c r="I62" s="344"/>
      <c r="J62" s="344"/>
      <c r="K62" s="344"/>
      <c r="L62" s="344"/>
      <c r="M62" s="267"/>
      <c r="N62" s="249"/>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CZ62" s="344"/>
      <c r="DA62" s="344"/>
      <c r="DB62" s="344"/>
      <c r="DC62" s="344"/>
      <c r="DD62" s="344"/>
      <c r="DE62" s="344"/>
      <c r="DF62" s="344"/>
      <c r="DG62" s="344"/>
      <c r="DH62" s="344"/>
      <c r="DI62" s="344"/>
      <c r="DJ62" s="344"/>
      <c r="DK62" s="344"/>
      <c r="DL62" s="344"/>
      <c r="DM62" s="344"/>
      <c r="DN62" s="344"/>
      <c r="DO62" s="344"/>
      <c r="DP62" s="344"/>
      <c r="DQ62" s="344"/>
      <c r="DR62" s="344"/>
      <c r="DS62" s="344"/>
      <c r="DT62" s="344"/>
      <c r="DU62" s="344"/>
      <c r="DV62" s="344"/>
      <c r="DW62" s="344"/>
      <c r="DX62" s="344"/>
      <c r="DY62" s="344"/>
      <c r="DZ62" s="344"/>
      <c r="EA62" s="344"/>
      <c r="EB62" s="344"/>
      <c r="EC62" s="344"/>
      <c r="ED62" s="344"/>
      <c r="EE62" s="344"/>
      <c r="EF62" s="344"/>
      <c r="EG62" s="344"/>
      <c r="EH62" s="344"/>
      <c r="EI62" s="344"/>
      <c r="EJ62" s="344"/>
      <c r="EK62" s="344"/>
      <c r="EL62" s="344"/>
      <c r="EM62" s="344"/>
      <c r="EN62" s="344"/>
      <c r="EO62" s="344"/>
      <c r="EP62" s="344"/>
      <c r="EQ62" s="344"/>
      <c r="ER62" s="344"/>
      <c r="ES62" s="344"/>
      <c r="ET62" s="344"/>
      <c r="EU62" s="344"/>
      <c r="EV62" s="344"/>
      <c r="EW62" s="344"/>
      <c r="EX62" s="344"/>
      <c r="EY62" s="344"/>
      <c r="EZ62" s="344"/>
      <c r="FA62" s="344"/>
      <c r="FB62" s="344"/>
      <c r="FC62" s="344"/>
      <c r="FD62" s="344"/>
      <c r="FE62" s="344"/>
      <c r="FF62" s="344"/>
      <c r="FG62" s="344"/>
      <c r="FH62" s="344"/>
      <c r="FI62" s="344"/>
      <c r="FJ62" s="344"/>
      <c r="FK62" s="344"/>
      <c r="FL62" s="344"/>
      <c r="FM62" s="344"/>
      <c r="FN62" s="344"/>
      <c r="FO62" s="344"/>
      <c r="FP62" s="344"/>
      <c r="FQ62" s="344"/>
      <c r="FR62" s="344"/>
      <c r="FS62" s="344"/>
      <c r="FT62" s="344"/>
      <c r="FU62" s="344"/>
      <c r="FV62" s="344"/>
      <c r="FW62" s="344"/>
      <c r="FX62" s="344"/>
      <c r="FY62" s="344"/>
      <c r="FZ62" s="344"/>
      <c r="GA62" s="344"/>
      <c r="GB62" s="344"/>
      <c r="GC62" s="344"/>
      <c r="GD62" s="344"/>
      <c r="GE62" s="344"/>
      <c r="GF62" s="344"/>
      <c r="GG62" s="344"/>
      <c r="GH62" s="344"/>
      <c r="GI62" s="344"/>
      <c r="GJ62" s="344"/>
      <c r="GK62" s="344"/>
      <c r="GL62" s="344"/>
      <c r="GM62" s="344"/>
      <c r="GN62" s="344"/>
      <c r="GO62" s="344"/>
      <c r="GP62" s="344"/>
      <c r="GQ62" s="344"/>
      <c r="GR62" s="344"/>
      <c r="GS62" s="344"/>
      <c r="GT62" s="344"/>
      <c r="GU62" s="344"/>
      <c r="GV62" s="344"/>
      <c r="GW62" s="344"/>
      <c r="GX62" s="344"/>
    </row>
    <row r="63" spans="1:206" s="237" customFormat="1" ht="11.25" thickTop="1" thickBot="1">
      <c r="A63" s="440" t="s">
        <v>249</v>
      </c>
      <c r="B63" s="441"/>
      <c r="C63" s="437"/>
      <c r="D63" s="441"/>
      <c r="E63" s="442" t="e">
        <f>E55</f>
        <v>#REF!</v>
      </c>
      <c r="F63" s="437"/>
      <c r="G63" s="245"/>
      <c r="H63" s="437"/>
      <c r="I63" s="344"/>
      <c r="J63" s="344"/>
      <c r="K63" s="344"/>
      <c r="L63" s="344"/>
      <c r="M63" s="267"/>
      <c r="N63" s="249"/>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CZ63" s="344"/>
      <c r="DA63" s="344"/>
      <c r="DB63" s="344"/>
      <c r="DC63" s="344"/>
      <c r="DD63" s="344"/>
      <c r="DE63" s="344"/>
      <c r="DF63" s="344"/>
      <c r="DG63" s="344"/>
      <c r="DH63" s="344"/>
      <c r="DI63" s="344"/>
      <c r="DJ63" s="344"/>
      <c r="DK63" s="344"/>
      <c r="DL63" s="344"/>
      <c r="DM63" s="344"/>
      <c r="DN63" s="344"/>
      <c r="DO63" s="344"/>
      <c r="DP63" s="344"/>
      <c r="DQ63" s="344"/>
      <c r="DR63" s="344"/>
      <c r="DS63" s="344"/>
      <c r="DT63" s="344"/>
      <c r="DU63" s="344"/>
      <c r="DV63" s="344"/>
      <c r="DW63" s="344"/>
      <c r="DX63" s="344"/>
      <c r="DY63" s="344"/>
      <c r="DZ63" s="344"/>
      <c r="EA63" s="344"/>
      <c r="EB63" s="344"/>
      <c r="EC63" s="344"/>
      <c r="ED63" s="344"/>
      <c r="EE63" s="344"/>
      <c r="EF63" s="344"/>
      <c r="EG63" s="344"/>
      <c r="EH63" s="344"/>
      <c r="EI63" s="344"/>
      <c r="EJ63" s="344"/>
      <c r="EK63" s="344"/>
      <c r="EL63" s="344"/>
      <c r="EM63" s="344"/>
      <c r="EN63" s="344"/>
      <c r="EO63" s="344"/>
      <c r="EP63" s="344"/>
      <c r="EQ63" s="344"/>
      <c r="ER63" s="344"/>
      <c r="ES63" s="344"/>
      <c r="ET63" s="344"/>
      <c r="EU63" s="344"/>
      <c r="EV63" s="344"/>
      <c r="EW63" s="344"/>
      <c r="EX63" s="344"/>
      <c r="EY63" s="344"/>
      <c r="EZ63" s="344"/>
      <c r="FA63" s="344"/>
      <c r="FB63" s="344"/>
      <c r="FC63" s="344"/>
      <c r="FD63" s="344"/>
      <c r="FE63" s="344"/>
      <c r="FF63" s="344"/>
      <c r="FG63" s="344"/>
      <c r="FH63" s="344"/>
      <c r="FI63" s="344"/>
      <c r="FJ63" s="344"/>
      <c r="FK63" s="344"/>
      <c r="FL63" s="344"/>
      <c r="FM63" s="344"/>
      <c r="FN63" s="344"/>
      <c r="FO63" s="344"/>
      <c r="FP63" s="344"/>
      <c r="FQ63" s="344"/>
      <c r="FR63" s="344"/>
      <c r="FS63" s="344"/>
      <c r="FT63" s="344"/>
      <c r="FU63" s="344"/>
      <c r="FV63" s="344"/>
      <c r="FW63" s="344"/>
      <c r="FX63" s="344"/>
      <c r="FY63" s="344"/>
      <c r="FZ63" s="344"/>
      <c r="GA63" s="344"/>
      <c r="GB63" s="344"/>
      <c r="GC63" s="344"/>
      <c r="GD63" s="344"/>
      <c r="GE63" s="344"/>
      <c r="GF63" s="344"/>
      <c r="GG63" s="344"/>
      <c r="GH63" s="344"/>
      <c r="GI63" s="344"/>
      <c r="GJ63" s="344"/>
      <c r="GK63" s="344"/>
      <c r="GL63" s="344"/>
      <c r="GM63" s="344"/>
      <c r="GN63" s="344"/>
      <c r="GO63" s="344"/>
      <c r="GP63" s="344"/>
      <c r="GQ63" s="344"/>
      <c r="GR63" s="344"/>
      <c r="GS63" s="344"/>
      <c r="GT63" s="344"/>
      <c r="GU63" s="344"/>
      <c r="GV63" s="344"/>
      <c r="GW63" s="344"/>
      <c r="GX63" s="344"/>
    </row>
    <row r="64" spans="1:206" s="237" customFormat="1" ht="9.9499999999999993" customHeight="1" thickTop="1">
      <c r="A64" s="443"/>
      <c r="B64" s="444"/>
      <c r="C64" s="445"/>
      <c r="D64" s="444"/>
      <c r="E64" s="446"/>
      <c r="F64" s="437"/>
      <c r="G64" s="245"/>
      <c r="H64" s="437"/>
      <c r="I64" s="447" t="e">
        <f>E59/1000</f>
        <v>#REF!</v>
      </c>
      <c r="J64" s="344"/>
      <c r="K64" s="344"/>
      <c r="L64" s="344"/>
      <c r="M64" s="267"/>
      <c r="N64" s="249"/>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row>
    <row r="65" spans="1:206" s="237" customFormat="1" ht="9.9499999999999993" customHeight="1">
      <c r="A65" s="240"/>
      <c r="B65" s="238"/>
      <c r="C65" s="437"/>
      <c r="D65" s="238"/>
      <c r="E65" s="437"/>
      <c r="F65" s="437"/>
      <c r="G65" s="245"/>
      <c r="H65" s="437"/>
      <c r="I65" s="344" t="e">
        <f>E50</f>
        <v>#REF!</v>
      </c>
      <c r="J65" s="344"/>
      <c r="K65" s="344"/>
      <c r="L65" s="344"/>
      <c r="M65" s="267"/>
      <c r="N65" s="249"/>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4"/>
      <c r="CX65" s="344"/>
      <c r="CY65" s="344"/>
      <c r="CZ65" s="344"/>
      <c r="DA65" s="344"/>
      <c r="DB65" s="344"/>
      <c r="DC65" s="344"/>
      <c r="DD65" s="344"/>
      <c r="DE65" s="344"/>
      <c r="DF65" s="344"/>
      <c r="DG65" s="344"/>
      <c r="DH65" s="344"/>
      <c r="DI65" s="344"/>
      <c r="DJ65" s="344"/>
      <c r="DK65" s="344"/>
      <c r="DL65" s="344"/>
      <c r="DM65" s="344"/>
      <c r="DN65" s="344"/>
      <c r="DO65" s="344"/>
      <c r="DP65" s="344"/>
      <c r="DQ65" s="344"/>
      <c r="DR65" s="344"/>
      <c r="DS65" s="344"/>
      <c r="DT65" s="344"/>
      <c r="DU65" s="344"/>
      <c r="DV65" s="344"/>
      <c r="DW65" s="344"/>
      <c r="DX65" s="344"/>
      <c r="DY65" s="344"/>
      <c r="DZ65" s="344"/>
      <c r="EA65" s="344"/>
      <c r="EB65" s="344"/>
      <c r="EC65" s="344"/>
      <c r="ED65" s="344"/>
      <c r="EE65" s="344"/>
      <c r="EF65" s="344"/>
      <c r="EG65" s="344"/>
      <c r="EH65" s="344"/>
      <c r="EI65" s="344"/>
      <c r="EJ65" s="344"/>
      <c r="EK65" s="344"/>
      <c r="EL65" s="344"/>
      <c r="EM65" s="344"/>
      <c r="EN65" s="344"/>
      <c r="EO65" s="344"/>
      <c r="EP65" s="344"/>
      <c r="EQ65" s="344"/>
      <c r="ER65" s="344"/>
      <c r="ES65" s="344"/>
      <c r="ET65" s="344"/>
      <c r="EU65" s="344"/>
      <c r="EV65" s="344"/>
      <c r="EW65" s="344"/>
      <c r="EX65" s="344"/>
      <c r="EY65" s="344"/>
      <c r="EZ65" s="344"/>
      <c r="FA65" s="344"/>
      <c r="FB65" s="344"/>
      <c r="FC65" s="344"/>
      <c r="FD65" s="344"/>
      <c r="FE65" s="344"/>
      <c r="FF65" s="344"/>
      <c r="FG65" s="344"/>
      <c r="FH65" s="344"/>
      <c r="FI65" s="344"/>
      <c r="FJ65" s="344"/>
      <c r="FK65" s="344"/>
      <c r="FL65" s="344"/>
      <c r="FM65" s="344"/>
      <c r="FN65" s="344"/>
      <c r="FO65" s="344"/>
      <c r="FP65" s="344"/>
      <c r="FQ65" s="344"/>
      <c r="FR65" s="344"/>
      <c r="FS65" s="344"/>
      <c r="FT65" s="344"/>
      <c r="FU65" s="344"/>
      <c r="FV65" s="344"/>
      <c r="FW65" s="344"/>
      <c r="FX65" s="344"/>
      <c r="FY65" s="344"/>
      <c r="FZ65" s="344"/>
      <c r="GA65" s="344"/>
      <c r="GB65" s="344"/>
      <c r="GC65" s="344"/>
      <c r="GD65" s="344"/>
      <c r="GE65" s="344"/>
      <c r="GF65" s="344"/>
      <c r="GG65" s="344"/>
      <c r="GH65" s="344"/>
      <c r="GI65" s="344"/>
      <c r="GJ65" s="344"/>
      <c r="GK65" s="344"/>
      <c r="GL65" s="344"/>
      <c r="GM65" s="344"/>
      <c r="GN65" s="344"/>
      <c r="GO65" s="344"/>
      <c r="GP65" s="344"/>
      <c r="GQ65" s="344"/>
      <c r="GR65" s="344"/>
      <c r="GS65" s="344"/>
      <c r="GT65" s="344"/>
      <c r="GU65" s="344"/>
      <c r="GV65" s="344"/>
      <c r="GW65" s="344"/>
      <c r="GX65" s="344"/>
    </row>
    <row r="66" spans="1:206" s="237" customFormat="1" ht="9.9499999999999993" customHeight="1">
      <c r="B66" s="238"/>
      <c r="C66" s="238"/>
      <c r="D66" s="238"/>
      <c r="E66" s="238"/>
      <c r="F66" s="245"/>
      <c r="G66" s="245"/>
      <c r="H66" s="344"/>
      <c r="I66" s="344" t="e">
        <f>I65-E12</f>
        <v>#REF!</v>
      </c>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c r="CO66" s="344"/>
      <c r="CP66" s="344"/>
      <c r="CQ66" s="344"/>
      <c r="CR66" s="344"/>
      <c r="CS66" s="344"/>
      <c r="CT66" s="344"/>
      <c r="CU66" s="344"/>
      <c r="CV66" s="344"/>
      <c r="CW66" s="344"/>
      <c r="CX66" s="344"/>
      <c r="CY66" s="344"/>
      <c r="CZ66" s="344"/>
      <c r="DA66" s="344"/>
      <c r="DB66" s="344"/>
      <c r="DC66" s="344"/>
      <c r="DD66" s="344"/>
      <c r="DE66" s="344"/>
      <c r="DF66" s="344"/>
      <c r="DG66" s="344"/>
      <c r="DH66" s="344"/>
      <c r="DI66" s="344"/>
      <c r="DJ66" s="344"/>
      <c r="DK66" s="344"/>
      <c r="DL66" s="344"/>
      <c r="DM66" s="344"/>
      <c r="DN66" s="344"/>
      <c r="DO66" s="344"/>
      <c r="DP66" s="344"/>
      <c r="DQ66" s="344"/>
      <c r="DR66" s="344"/>
      <c r="DS66" s="344"/>
      <c r="DT66" s="344"/>
      <c r="DU66" s="344"/>
      <c r="DV66" s="344"/>
      <c r="DW66" s="344"/>
      <c r="DX66" s="344"/>
      <c r="DY66" s="344"/>
      <c r="DZ66" s="344"/>
      <c r="EA66" s="344"/>
      <c r="EB66" s="344"/>
      <c r="EC66" s="344"/>
      <c r="ED66" s="344"/>
      <c r="EE66" s="344"/>
      <c r="EF66" s="344"/>
      <c r="EG66" s="344"/>
      <c r="EH66" s="344"/>
      <c r="EI66" s="344"/>
      <c r="EJ66" s="344"/>
      <c r="EK66" s="344"/>
      <c r="EL66" s="344"/>
      <c r="EM66" s="344"/>
      <c r="EN66" s="344"/>
      <c r="EO66" s="344"/>
      <c r="EP66" s="344"/>
      <c r="EQ66" s="344"/>
      <c r="ER66" s="344"/>
      <c r="ES66" s="344"/>
      <c r="ET66" s="344"/>
      <c r="EU66" s="344"/>
      <c r="EV66" s="344"/>
      <c r="EW66" s="344"/>
      <c r="EX66" s="344"/>
      <c r="EY66" s="344"/>
      <c r="EZ66" s="344"/>
      <c r="FA66" s="344"/>
      <c r="FB66" s="344"/>
      <c r="FC66" s="344"/>
      <c r="FD66" s="344"/>
      <c r="FE66" s="344"/>
      <c r="FF66" s="344"/>
      <c r="FG66" s="344"/>
      <c r="FH66" s="344"/>
      <c r="FI66" s="344"/>
      <c r="FJ66" s="344"/>
      <c r="FK66" s="344"/>
      <c r="FL66" s="344"/>
      <c r="FM66" s="344"/>
      <c r="FN66" s="344"/>
      <c r="FO66" s="344"/>
      <c r="FP66" s="344"/>
      <c r="FQ66" s="344"/>
      <c r="FR66" s="344"/>
      <c r="FS66" s="344"/>
      <c r="FT66" s="344"/>
      <c r="FU66" s="344"/>
      <c r="FV66" s="344"/>
      <c r="FW66" s="344"/>
      <c r="FX66" s="344"/>
      <c r="FY66" s="344"/>
      <c r="FZ66" s="344"/>
      <c r="GA66" s="344"/>
      <c r="GB66" s="344"/>
      <c r="GC66" s="344"/>
      <c r="GD66" s="344"/>
      <c r="GE66" s="344"/>
      <c r="GF66" s="344"/>
      <c r="GG66" s="344"/>
      <c r="GH66" s="344"/>
      <c r="GI66" s="344"/>
      <c r="GJ66" s="344"/>
      <c r="GK66" s="344"/>
      <c r="GL66" s="344"/>
      <c r="GM66" s="344"/>
      <c r="GN66" s="344"/>
      <c r="GO66" s="344"/>
      <c r="GP66" s="344"/>
      <c r="GQ66" s="344"/>
      <c r="GR66" s="344"/>
      <c r="GS66" s="344"/>
      <c r="GT66" s="344"/>
      <c r="GU66" s="344"/>
      <c r="GV66" s="344"/>
      <c r="GW66" s="344"/>
      <c r="GX66" s="344"/>
    </row>
    <row r="67" spans="1:206" s="237" customFormat="1" ht="9.9499999999999993" customHeight="1">
      <c r="B67" s="238"/>
      <c r="C67" s="238"/>
      <c r="D67" s="238"/>
      <c r="E67" s="238"/>
      <c r="F67" s="245"/>
      <c r="G67" s="245"/>
      <c r="H67" s="344"/>
      <c r="I67" s="344" t="e">
        <f>I65-E20</f>
        <v>#REF!</v>
      </c>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c r="CW67" s="344"/>
      <c r="CX67" s="344"/>
      <c r="CY67" s="344"/>
      <c r="CZ67" s="344"/>
      <c r="DA67" s="344"/>
      <c r="DB67" s="344"/>
      <c r="DC67" s="344"/>
      <c r="DD67" s="344"/>
      <c r="DE67" s="344"/>
      <c r="DF67" s="344"/>
      <c r="DG67" s="344"/>
      <c r="DH67" s="344"/>
      <c r="DI67" s="344"/>
      <c r="DJ67" s="344"/>
      <c r="DK67" s="344"/>
      <c r="DL67" s="344"/>
      <c r="DM67" s="344"/>
      <c r="DN67" s="344"/>
      <c r="DO67" s="344"/>
      <c r="DP67" s="344"/>
      <c r="DQ67" s="344"/>
      <c r="DR67" s="344"/>
      <c r="DS67" s="344"/>
      <c r="DT67" s="344"/>
      <c r="DU67" s="344"/>
      <c r="DV67" s="344"/>
      <c r="DW67" s="344"/>
      <c r="DX67" s="344"/>
      <c r="DY67" s="344"/>
      <c r="DZ67" s="344"/>
      <c r="EA67" s="344"/>
      <c r="EB67" s="344"/>
      <c r="EC67" s="344"/>
      <c r="ED67" s="344"/>
      <c r="EE67" s="344"/>
      <c r="EF67" s="344"/>
      <c r="EG67" s="344"/>
      <c r="EH67" s="344"/>
      <c r="EI67" s="344"/>
      <c r="EJ67" s="344"/>
      <c r="EK67" s="344"/>
      <c r="EL67" s="344"/>
      <c r="EM67" s="344"/>
      <c r="EN67" s="344"/>
      <c r="EO67" s="344"/>
      <c r="EP67" s="344"/>
      <c r="EQ67" s="344"/>
      <c r="ER67" s="344"/>
      <c r="ES67" s="344"/>
      <c r="ET67" s="344"/>
      <c r="EU67" s="344"/>
      <c r="EV67" s="344"/>
      <c r="EW67" s="344"/>
      <c r="EX67" s="344"/>
      <c r="EY67" s="344"/>
      <c r="EZ67" s="344"/>
      <c r="FA67" s="344"/>
      <c r="FB67" s="344"/>
      <c r="FC67" s="344"/>
      <c r="FD67" s="344"/>
      <c r="FE67" s="344"/>
      <c r="FF67" s="344"/>
      <c r="FG67" s="344"/>
      <c r="FH67" s="344"/>
      <c r="FI67" s="344"/>
      <c r="FJ67" s="344"/>
      <c r="FK67" s="344"/>
      <c r="FL67" s="344"/>
      <c r="FM67" s="344"/>
      <c r="FN67" s="344"/>
      <c r="FO67" s="344"/>
      <c r="FP67" s="344"/>
      <c r="FQ67" s="344"/>
      <c r="FR67" s="344"/>
      <c r="FS67" s="344"/>
      <c r="FT67" s="344"/>
      <c r="FU67" s="344"/>
      <c r="FV67" s="344"/>
      <c r="FW67" s="344"/>
      <c r="FX67" s="344"/>
      <c r="FY67" s="344"/>
      <c r="FZ67" s="344"/>
      <c r="GA67" s="344"/>
      <c r="GB67" s="344"/>
      <c r="GC67" s="344"/>
      <c r="GD67" s="344"/>
      <c r="GE67" s="344"/>
      <c r="GF67" s="344"/>
      <c r="GG67" s="344"/>
      <c r="GH67" s="344"/>
      <c r="GI67" s="344"/>
      <c r="GJ67" s="344"/>
      <c r="GK67" s="344"/>
      <c r="GL67" s="344"/>
      <c r="GM67" s="344"/>
      <c r="GN67" s="344"/>
      <c r="GO67" s="344"/>
      <c r="GP67" s="344"/>
      <c r="GQ67" s="344"/>
      <c r="GR67" s="344"/>
      <c r="GS67" s="344"/>
      <c r="GT67" s="344"/>
      <c r="GU67" s="344"/>
      <c r="GV67" s="344"/>
      <c r="GW67" s="344"/>
      <c r="GX67" s="344"/>
    </row>
    <row r="68" spans="1:206" s="237" customFormat="1">
      <c r="A68" s="25"/>
      <c r="B68" s="35"/>
      <c r="C68" s="35"/>
      <c r="D68" s="35"/>
      <c r="E68" s="435" t="e">
        <f>E61*0.9</f>
        <v>#REF!</v>
      </c>
      <c r="F68" s="407" t="e">
        <f>F61*0.9</f>
        <v>#REF!</v>
      </c>
      <c r="G68" s="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c r="CW68" s="344"/>
      <c r="CX68" s="344"/>
      <c r="CY68" s="344"/>
      <c r="CZ68" s="344"/>
      <c r="DA68" s="344"/>
      <c r="DB68" s="344"/>
      <c r="DC68" s="344"/>
      <c r="DD68" s="344"/>
      <c r="DE68" s="344"/>
      <c r="DF68" s="344"/>
      <c r="DG68" s="344"/>
      <c r="DH68" s="344"/>
      <c r="DI68" s="344"/>
      <c r="DJ68" s="344"/>
      <c r="DK68" s="344"/>
      <c r="DL68" s="344"/>
      <c r="DM68" s="344"/>
      <c r="DN68" s="344"/>
      <c r="DO68" s="344"/>
      <c r="DP68" s="344"/>
      <c r="DQ68" s="344"/>
      <c r="DR68" s="344"/>
      <c r="DS68" s="344"/>
      <c r="DT68" s="344"/>
      <c r="DU68" s="344"/>
      <c r="DV68" s="344"/>
      <c r="DW68" s="344"/>
      <c r="DX68" s="344"/>
      <c r="DY68" s="344"/>
      <c r="DZ68" s="344"/>
      <c r="EA68" s="344"/>
      <c r="EB68" s="344"/>
      <c r="EC68" s="344"/>
      <c r="ED68" s="344"/>
      <c r="EE68" s="344"/>
      <c r="EF68" s="344"/>
      <c r="EG68" s="344"/>
      <c r="EH68" s="344"/>
      <c r="EI68" s="344"/>
      <c r="EJ68" s="344"/>
      <c r="EK68" s="344"/>
      <c r="EL68" s="344"/>
      <c r="EM68" s="344"/>
      <c r="EN68" s="344"/>
      <c r="EO68" s="344"/>
      <c r="EP68" s="344"/>
      <c r="EQ68" s="344"/>
      <c r="ER68" s="344"/>
      <c r="ES68" s="344"/>
      <c r="ET68" s="344"/>
      <c r="EU68" s="344"/>
      <c r="EV68" s="344"/>
      <c r="EW68" s="344"/>
      <c r="EX68" s="344"/>
      <c r="EY68" s="344"/>
      <c r="EZ68" s="344"/>
      <c r="FA68" s="344"/>
      <c r="FB68" s="344"/>
      <c r="FC68" s="344"/>
      <c r="FD68" s="344"/>
      <c r="FE68" s="344"/>
      <c r="FF68" s="344"/>
      <c r="FG68" s="344"/>
      <c r="FH68" s="344"/>
      <c r="FI68" s="344"/>
      <c r="FJ68" s="344"/>
      <c r="FK68" s="344"/>
      <c r="FL68" s="344"/>
      <c r="FM68" s="344"/>
      <c r="FN68" s="344"/>
      <c r="FO68" s="344"/>
      <c r="FP68" s="344"/>
      <c r="FQ68" s="344"/>
      <c r="FR68" s="344"/>
      <c r="FS68" s="344"/>
      <c r="FT68" s="344"/>
      <c r="FU68" s="344"/>
      <c r="FV68" s="344"/>
      <c r="FW68" s="344"/>
      <c r="FX68" s="344"/>
      <c r="FY68" s="344"/>
      <c r="FZ68" s="344"/>
      <c r="GA68" s="344"/>
      <c r="GB68" s="344"/>
      <c r="GC68" s="344"/>
      <c r="GD68" s="344"/>
      <c r="GE68" s="344"/>
      <c r="GF68" s="344"/>
      <c r="GG68" s="344"/>
      <c r="GH68" s="344"/>
      <c r="GI68" s="344"/>
      <c r="GJ68" s="344"/>
      <c r="GK68" s="344"/>
      <c r="GL68" s="344"/>
      <c r="GM68" s="344"/>
      <c r="GN68" s="344"/>
      <c r="GO68" s="344"/>
      <c r="GP68" s="344"/>
      <c r="GQ68" s="344"/>
      <c r="GR68" s="344"/>
      <c r="GS68" s="344"/>
      <c r="GT68" s="344"/>
      <c r="GU68" s="344"/>
      <c r="GV68" s="344"/>
      <c r="GW68" s="344"/>
      <c r="GX68" s="344"/>
    </row>
    <row r="69" spans="1:206" s="4" customFormat="1" ht="15.75">
      <c r="A69" s="338" t="e">
        <f>BS!#REF!</f>
        <v>#REF!</v>
      </c>
      <c r="B69" s="390"/>
      <c r="C69" s="410"/>
      <c r="D69" s="410"/>
      <c r="E69" s="410"/>
      <c r="F69" s="390"/>
      <c r="G69" s="390"/>
      <c r="H69" s="13"/>
      <c r="I69" s="13" t="e">
        <f>E40</f>
        <v>#REF!</v>
      </c>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row>
    <row r="70" spans="1:206" s="234" customFormat="1">
      <c r="A70" s="4"/>
      <c r="B70" s="4"/>
      <c r="C70" s="4"/>
      <c r="D70" s="4"/>
      <c r="E70" s="4"/>
      <c r="F70" s="436"/>
      <c r="G70" s="13"/>
      <c r="H70" s="235"/>
      <c r="I70" s="235" t="e">
        <f>SUM(#REF!)</f>
        <v>#REF!</v>
      </c>
      <c r="J70" s="235" t="e">
        <f>SUM(#REF!)</f>
        <v>#REF!</v>
      </c>
      <c r="K70" s="235" t="e">
        <f>I70-J70</f>
        <v>#REF!</v>
      </c>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c r="BS70" s="235"/>
      <c r="BT70" s="235"/>
      <c r="BU70" s="235"/>
      <c r="BV70" s="235"/>
      <c r="BW70" s="235"/>
      <c r="BX70" s="235"/>
      <c r="BY70" s="235"/>
      <c r="BZ70" s="235"/>
      <c r="CA70" s="235"/>
      <c r="CB70" s="235"/>
      <c r="CC70" s="235"/>
      <c r="CD70" s="235"/>
      <c r="CE70" s="235"/>
      <c r="CF70" s="235"/>
      <c r="CG70" s="235"/>
      <c r="CH70" s="235"/>
      <c r="CI70" s="235"/>
      <c r="CJ70" s="235"/>
      <c r="CK70" s="235"/>
      <c r="CL70" s="235"/>
      <c r="CM70" s="235"/>
      <c r="CN70" s="235"/>
      <c r="CO70" s="235"/>
      <c r="CP70" s="235"/>
      <c r="CQ70" s="235"/>
      <c r="CR70" s="235"/>
      <c r="CS70" s="235"/>
      <c r="CT70" s="235"/>
      <c r="CU70" s="235"/>
      <c r="CV70" s="235"/>
      <c r="CW70" s="235"/>
      <c r="CX70" s="235"/>
      <c r="CY70" s="235"/>
      <c r="CZ70" s="235"/>
      <c r="DA70" s="235"/>
      <c r="DB70" s="235"/>
      <c r="DC70" s="235"/>
      <c r="DD70" s="235"/>
      <c r="DE70" s="235"/>
      <c r="DF70" s="235"/>
      <c r="DG70" s="235"/>
      <c r="DH70" s="235"/>
      <c r="DI70" s="235"/>
      <c r="DJ70" s="235"/>
      <c r="DK70" s="235"/>
      <c r="DL70" s="235"/>
      <c r="DM70" s="235"/>
      <c r="DN70" s="235"/>
      <c r="DO70" s="235"/>
      <c r="DP70" s="235"/>
      <c r="DQ70" s="235"/>
      <c r="DR70" s="235"/>
      <c r="DS70" s="235"/>
      <c r="DT70" s="235"/>
      <c r="DU70" s="235"/>
      <c r="DV70" s="235"/>
      <c r="DW70" s="235"/>
      <c r="DX70" s="235"/>
      <c r="DY70" s="235"/>
      <c r="DZ70" s="235"/>
      <c r="EA70" s="235"/>
      <c r="EB70" s="235"/>
      <c r="EC70" s="235"/>
      <c r="ED70" s="235"/>
      <c r="EE70" s="235"/>
      <c r="EF70" s="235"/>
      <c r="EG70" s="235"/>
      <c r="EH70" s="235"/>
      <c r="EI70" s="235"/>
      <c r="EJ70" s="235"/>
      <c r="EK70" s="235"/>
      <c r="EL70" s="235"/>
      <c r="EM70" s="235"/>
      <c r="EN70" s="235"/>
      <c r="EO70" s="235"/>
      <c r="EP70" s="235"/>
      <c r="EQ70" s="235"/>
      <c r="ER70" s="235"/>
      <c r="ES70" s="235"/>
      <c r="ET70" s="235"/>
      <c r="EU70" s="235"/>
      <c r="EV70" s="235"/>
      <c r="EW70" s="235"/>
      <c r="EX70" s="235"/>
      <c r="EY70" s="235"/>
      <c r="EZ70" s="235"/>
      <c r="FA70" s="235"/>
      <c r="FB70" s="235"/>
      <c r="FC70" s="235"/>
      <c r="FD70" s="235"/>
      <c r="FE70" s="235"/>
      <c r="FF70" s="235"/>
      <c r="FG70" s="235"/>
      <c r="FH70" s="235"/>
      <c r="FI70" s="235"/>
      <c r="FJ70" s="235"/>
      <c r="FK70" s="235"/>
      <c r="FL70" s="235"/>
      <c r="FM70" s="235"/>
      <c r="FN70" s="235"/>
      <c r="FO70" s="235"/>
      <c r="FP70" s="235"/>
      <c r="FQ70" s="235"/>
      <c r="FR70" s="235"/>
      <c r="FS70" s="235"/>
      <c r="FT70" s="235"/>
      <c r="FU70" s="235"/>
      <c r="FV70" s="235"/>
      <c r="FW70" s="235"/>
      <c r="FX70" s="235"/>
      <c r="FY70" s="235"/>
      <c r="FZ70" s="235"/>
      <c r="GA70" s="235"/>
      <c r="GB70" s="235"/>
      <c r="GC70" s="235"/>
      <c r="GD70" s="235"/>
      <c r="GE70" s="235"/>
      <c r="GF70" s="235"/>
      <c r="GG70" s="235"/>
      <c r="GH70" s="235"/>
      <c r="GI70" s="235"/>
      <c r="GJ70" s="235"/>
      <c r="GK70" s="235"/>
      <c r="GL70" s="235"/>
      <c r="GM70" s="235"/>
      <c r="GN70" s="235"/>
      <c r="GO70" s="235"/>
      <c r="GP70" s="235"/>
      <c r="GQ70" s="235"/>
      <c r="GR70" s="235"/>
      <c r="GS70" s="235"/>
      <c r="GT70" s="235"/>
      <c r="GU70" s="235"/>
      <c r="GV70" s="235"/>
      <c r="GW70" s="235"/>
      <c r="GX70" s="235"/>
    </row>
    <row r="71" spans="1:206" s="4" customFormat="1">
      <c r="F71" s="436"/>
      <c r="G71" s="13"/>
      <c r="I71" s="14" t="e">
        <f>I69-I70</f>
        <v>#REF!</v>
      </c>
      <c r="K71" s="14" t="e">
        <f>I69-K70</f>
        <v>#REF!</v>
      </c>
    </row>
    <row r="72" spans="1:206" s="4" customFormat="1">
      <c r="A72" s="272">
        <f>+BS!A52</f>
        <v>0</v>
      </c>
      <c r="B72" s="3"/>
      <c r="C72" s="3"/>
      <c r="D72" s="3"/>
      <c r="E72" s="3"/>
      <c r="F72" s="3"/>
      <c r="G72" s="3"/>
      <c r="K72" s="4" t="e">
        <f>#REF!</f>
        <v>#REF!</v>
      </c>
    </row>
    <row r="73" spans="1:206" s="4" customFormat="1">
      <c r="A73" s="272">
        <f>+BS!A55</f>
        <v>0</v>
      </c>
      <c r="B73" s="3"/>
      <c r="C73" s="3"/>
      <c r="D73" s="3"/>
      <c r="E73" s="3"/>
      <c r="F73" s="3"/>
      <c r="G73" s="3"/>
      <c r="K73" s="14" t="e">
        <f>K71-K72</f>
        <v>#REF!</v>
      </c>
    </row>
    <row r="74" spans="1:206" s="4" customFormat="1">
      <c r="A74" s="26"/>
      <c r="B74" s="3"/>
      <c r="C74" s="3"/>
      <c r="D74" s="3"/>
      <c r="E74" s="3"/>
      <c r="F74" s="3"/>
      <c r="G74" s="3"/>
    </row>
    <row r="75" spans="1:206" s="4" customFormat="1">
      <c r="B75" s="391"/>
      <c r="C75" s="409"/>
      <c r="D75" s="409"/>
      <c r="E75" s="409"/>
      <c r="F75" s="391"/>
      <c r="G75" s="391"/>
    </row>
    <row r="76" spans="1:206" s="4" customFormat="1">
      <c r="A76" s="272" t="e">
        <f>+BS!#REF!</f>
        <v>#REF!</v>
      </c>
      <c r="B76" s="27"/>
      <c r="C76" s="27"/>
      <c r="D76" s="27"/>
      <c r="E76" s="27"/>
      <c r="F76" s="28"/>
      <c r="G76" s="27"/>
    </row>
    <row r="77" spans="1:206" s="29" customFormat="1">
      <c r="A77" s="4"/>
      <c r="B77" s="4"/>
      <c r="C77" s="4"/>
      <c r="D77" s="4"/>
      <c r="E77" s="4"/>
      <c r="F77" s="5"/>
      <c r="G77" s="6"/>
    </row>
    <row r="78" spans="1:206" s="29" customFormat="1">
      <c r="A78" s="4"/>
      <c r="B78" s="4"/>
      <c r="C78" s="4"/>
      <c r="D78" s="4"/>
      <c r="E78" s="4"/>
      <c r="F78" s="5"/>
      <c r="G78" s="6"/>
    </row>
    <row r="79" spans="1:206" s="4" customFormat="1">
      <c r="F79" s="5"/>
      <c r="G79" s="6"/>
    </row>
    <row r="80" spans="1:206" s="4" customFormat="1">
      <c r="A80" s="3" t="e">
        <f>+BS!#REF!</f>
        <v>#REF!</v>
      </c>
      <c r="B80" s="26"/>
      <c r="C80" s="26"/>
      <c r="D80" s="26"/>
      <c r="E80" s="26"/>
      <c r="F80" s="278"/>
      <c r="G80" s="39"/>
    </row>
    <row r="81" spans="1:7" s="50" customFormat="1">
      <c r="A81" s="3" t="e">
        <f>+BS!#REF!</f>
        <v>#REF!</v>
      </c>
      <c r="B81" s="26"/>
      <c r="C81" s="26"/>
      <c r="D81" s="26"/>
      <c r="E81" s="26"/>
      <c r="F81" s="278"/>
      <c r="G81" s="39"/>
    </row>
    <row r="82" spans="1:7" s="50" customFormat="1">
      <c r="A82" s="25"/>
      <c r="B82" s="25"/>
      <c r="C82" s="25"/>
      <c r="D82" s="25"/>
      <c r="E82" s="25"/>
      <c r="F82" s="25"/>
      <c r="G82" s="25"/>
    </row>
    <row r="84" spans="1:7">
      <c r="A84" s="744"/>
      <c r="B84" s="744"/>
      <c r="C84" s="744"/>
      <c r="D84" s="744"/>
      <c r="E84" s="744"/>
      <c r="F84" s="744"/>
      <c r="G84" s="744"/>
    </row>
    <row r="88" spans="1:7">
      <c r="B88" s="25"/>
      <c r="C88" s="25"/>
      <c r="D88" s="25"/>
      <c r="E88" s="25"/>
      <c r="F88" s="38">
        <f>F50-F43</f>
        <v>22222</v>
      </c>
    </row>
    <row r="89" spans="1:7">
      <c r="B89" s="25"/>
      <c r="C89" s="25"/>
      <c r="D89" s="25"/>
      <c r="E89" s="25"/>
      <c r="F89" s="408" t="e">
        <f>F59/1000</f>
        <v>#REF!</v>
      </c>
    </row>
    <row r="90" spans="1:7">
      <c r="B90" s="25"/>
      <c r="C90" s="25"/>
      <c r="D90" s="25"/>
      <c r="E90" s="25"/>
      <c r="F90" s="176" t="e">
        <f>F88/F89</f>
        <v>#REF!</v>
      </c>
    </row>
    <row r="91" spans="1:7">
      <c r="B91" s="25"/>
      <c r="C91" s="25"/>
      <c r="D91" s="25"/>
      <c r="E91" s="25"/>
      <c r="F91" s="38">
        <f>F57-F43</f>
        <v>22222</v>
      </c>
    </row>
    <row r="92" spans="1:7">
      <c r="B92" s="25"/>
      <c r="C92" s="25"/>
      <c r="D92" s="25"/>
      <c r="E92" s="25"/>
      <c r="F92" s="408" t="e">
        <f>F91/F89</f>
        <v>#REF!</v>
      </c>
    </row>
    <row r="97" spans="2:6">
      <c r="B97" s="25"/>
      <c r="C97" s="25"/>
      <c r="D97" s="25"/>
      <c r="E97" s="25"/>
      <c r="F97" s="38">
        <f>F40</f>
        <v>22222</v>
      </c>
    </row>
  </sheetData>
  <mergeCells count="1">
    <mergeCell ref="A84:G84"/>
  </mergeCells>
  <printOptions horizontalCentered="1" gridLines="1"/>
  <pageMargins left="0.75" right="0.5" top="0.5" bottom="0.25" header="0.5" footer="0.5"/>
  <pageSetup paperSize="9" fitToWidth="12" fitToHeight="12" orientation="landscape" r:id="rId1"/>
  <headerFooter alignWithMargins="0"/>
  <colBreaks count="1" manualBreakCount="1">
    <brk id="5" max="50" man="1"/>
  </colBreaks>
</worksheet>
</file>

<file path=xl/worksheets/sheet3.xml><?xml version="1.0" encoding="utf-8"?>
<worksheet xmlns="http://schemas.openxmlformats.org/spreadsheetml/2006/main" xmlns:r="http://schemas.openxmlformats.org/officeDocument/2006/relationships">
  <sheetPr>
    <pageSetUpPr fitToPage="1"/>
  </sheetPr>
  <dimension ref="A35"/>
  <sheetViews>
    <sheetView view="pageBreakPreview" topLeftCell="A13" zoomScale="60" workbookViewId="0">
      <selection activeCell="D49" sqref="A1:XFD1048576"/>
    </sheetView>
  </sheetViews>
  <sheetFormatPr defaultRowHeight="12.75"/>
  <cols>
    <col min="1" max="16384" width="9" style="346"/>
  </cols>
  <sheetData>
    <row r="35" ht="30.75" customHeight="1"/>
  </sheetData>
  <customSheetViews>
    <customSheetView guid="{84FBBE83-FF6F-4C76-A58E-D04643F715A5}" showPageBreaks="1" fitToPage="1" topLeftCell="A13">
      <selection activeCell="K26" sqref="K26"/>
      <pageMargins left="0.75" right="0.75" top="1" bottom="1" header="0.5" footer="0.5"/>
      <pageSetup scale="93" orientation="portrait" r:id="rId1"/>
      <headerFooter alignWithMargins="0"/>
    </customSheetView>
  </customSheetViews>
  <pageMargins left="0.75" right="0.75" top="1" bottom="1" header="0.5" footer="0.5"/>
  <pageSetup scale="9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sheetPr codeName="Sheet4">
    <tabColor indexed="11"/>
  </sheetPr>
  <dimension ref="A1:W61"/>
  <sheetViews>
    <sheetView view="pageBreakPreview" topLeftCell="A40" zoomScaleSheetLayoutView="100" workbookViewId="0">
      <selection activeCell="C49" sqref="C49"/>
    </sheetView>
  </sheetViews>
  <sheetFormatPr defaultRowHeight="12"/>
  <cols>
    <col min="1" max="1" width="5.125" style="4" customWidth="1"/>
    <col min="2" max="2" width="3.625" style="4" customWidth="1"/>
    <col min="3" max="3" width="39.875" style="4" customWidth="1"/>
    <col min="4" max="4" width="4.375" style="4" customWidth="1"/>
    <col min="5" max="5" width="4.125" style="5" hidden="1" customWidth="1"/>
    <col min="6" max="6" width="10.375" style="480" hidden="1" customWidth="1"/>
    <col min="7" max="7" width="0.375" style="4" customWidth="1"/>
    <col min="8" max="8" width="10.5" style="6" bestFit="1" customWidth="1"/>
    <col min="9" max="9" width="0.375" style="4" customWidth="1"/>
    <col min="10" max="10" width="9.625" style="6" customWidth="1"/>
    <col min="11" max="11" width="0.5" style="4" customWidth="1"/>
    <col min="12" max="12" width="10.75" style="6" customWidth="1"/>
    <col min="13" max="13" width="0.75" style="6" customWidth="1"/>
    <col min="14" max="14" width="9.625" style="6" customWidth="1"/>
    <col min="15" max="15" width="0.75" style="6" customWidth="1"/>
    <col min="16" max="16" width="9.625" style="6" customWidth="1"/>
    <col min="17" max="17" width="0.75" style="6" customWidth="1"/>
    <col min="18" max="18" width="9.625" style="6" customWidth="1"/>
    <col min="19" max="19" width="0.75" style="6" customWidth="1"/>
    <col min="20" max="20" width="9.625" style="6" customWidth="1"/>
    <col min="21" max="21" width="0.75" style="6" customWidth="1"/>
    <col min="22" max="22" width="9.625" style="6" customWidth="1"/>
    <col min="23" max="23" width="0.5" style="6" customWidth="1"/>
    <col min="24" max="16384" width="9" style="4"/>
  </cols>
  <sheetData>
    <row r="1" spans="1:23">
      <c r="A1" s="2" t="s">
        <v>255</v>
      </c>
      <c r="B1" s="2"/>
      <c r="C1" s="2"/>
      <c r="D1" s="2"/>
      <c r="E1" s="2"/>
      <c r="F1" s="477"/>
      <c r="G1" s="2"/>
      <c r="H1" s="2"/>
      <c r="I1" s="2"/>
      <c r="J1" s="2"/>
      <c r="K1" s="2"/>
      <c r="L1" s="2"/>
      <c r="M1" s="2"/>
      <c r="N1" s="2"/>
      <c r="O1" s="2"/>
      <c r="P1" s="2"/>
      <c r="Q1" s="2"/>
      <c r="R1" s="2"/>
      <c r="S1" s="2"/>
      <c r="T1" s="2"/>
      <c r="U1" s="2"/>
      <c r="V1" s="2"/>
      <c r="W1" s="2"/>
    </row>
    <row r="2" spans="1:23">
      <c r="A2" s="431" t="s">
        <v>239</v>
      </c>
      <c r="B2" s="2"/>
      <c r="C2" s="2"/>
      <c r="D2" s="2"/>
      <c r="E2" s="2"/>
      <c r="F2" s="477"/>
      <c r="G2" s="2"/>
      <c r="H2" s="2"/>
      <c r="I2" s="2"/>
      <c r="J2" s="2"/>
      <c r="K2" s="2"/>
      <c r="L2" s="2"/>
      <c r="M2" s="2"/>
      <c r="N2" s="2"/>
      <c r="O2" s="2"/>
      <c r="P2" s="2"/>
      <c r="Q2" s="2"/>
      <c r="R2" s="2"/>
      <c r="S2" s="2"/>
      <c r="T2" s="2"/>
      <c r="U2" s="2"/>
      <c r="V2" s="2"/>
      <c r="W2" s="2"/>
    </row>
    <row r="3" spans="1:23">
      <c r="A3" s="2" t="s">
        <v>444</v>
      </c>
      <c r="B3" s="2"/>
      <c r="C3" s="2"/>
      <c r="D3" s="2"/>
      <c r="E3" s="2"/>
      <c r="F3" s="477"/>
      <c r="G3" s="2"/>
      <c r="H3" s="2"/>
      <c r="I3" s="2"/>
      <c r="J3" s="2"/>
      <c r="K3" s="2"/>
      <c r="L3" s="2"/>
      <c r="M3" s="2"/>
      <c r="N3" s="2"/>
      <c r="O3" s="2"/>
      <c r="P3" s="2"/>
      <c r="Q3" s="2"/>
      <c r="R3" s="2"/>
      <c r="S3" s="2"/>
      <c r="T3" s="2"/>
      <c r="U3" s="2"/>
      <c r="V3" s="2"/>
      <c r="W3" s="2"/>
    </row>
    <row r="4" spans="1:23" ht="17.25" customHeight="1">
      <c r="A4" s="431"/>
      <c r="B4" s="2"/>
      <c r="C4" s="2"/>
      <c r="D4" s="2"/>
      <c r="E4" s="2"/>
      <c r="F4" s="477"/>
      <c r="G4" s="2"/>
      <c r="H4" s="745" t="s">
        <v>445</v>
      </c>
      <c r="I4" s="746"/>
      <c r="J4" s="746"/>
      <c r="K4" s="746"/>
      <c r="L4" s="746"/>
      <c r="M4" s="746"/>
      <c r="N4" s="747"/>
      <c r="O4" s="509"/>
      <c r="P4" s="755" t="s">
        <v>420</v>
      </c>
      <c r="Q4" s="746"/>
      <c r="R4" s="746"/>
      <c r="S4" s="746"/>
      <c r="T4" s="746"/>
      <c r="U4" s="746"/>
      <c r="V4" s="747"/>
      <c r="W4" s="606"/>
    </row>
    <row r="5" spans="1:23" ht="48" customHeight="1">
      <c r="D5" s="4" t="s">
        <v>146</v>
      </c>
      <c r="E5" s="236"/>
      <c r="F5" s="478" t="s">
        <v>255</v>
      </c>
      <c r="H5" s="507" t="s">
        <v>305</v>
      </c>
      <c r="J5" s="507" t="s">
        <v>306</v>
      </c>
      <c r="L5" s="508" t="s">
        <v>307</v>
      </c>
      <c r="M5" s="506"/>
      <c r="N5" s="508" t="s">
        <v>213</v>
      </c>
      <c r="O5" s="510"/>
      <c r="P5" s="507" t="s">
        <v>305</v>
      </c>
      <c r="Q5" s="4"/>
      <c r="R5" s="507" t="s">
        <v>306</v>
      </c>
      <c r="S5" s="4"/>
      <c r="T5" s="508" t="s">
        <v>307</v>
      </c>
      <c r="U5" s="506"/>
      <c r="V5" s="508" t="s">
        <v>213</v>
      </c>
      <c r="W5" s="510"/>
    </row>
    <row r="6" spans="1:23" hidden="1">
      <c r="E6" s="236"/>
      <c r="F6" s="479" t="s">
        <v>141</v>
      </c>
      <c r="G6" s="413"/>
      <c r="H6" s="511" t="s">
        <v>141</v>
      </c>
      <c r="I6" s="413"/>
      <c r="J6" s="511" t="s">
        <v>141</v>
      </c>
      <c r="K6" s="413"/>
      <c r="L6" s="511" t="s">
        <v>141</v>
      </c>
      <c r="M6" s="474"/>
      <c r="N6" s="474"/>
      <c r="O6" s="474"/>
      <c r="P6" s="474"/>
      <c r="Q6" s="474"/>
      <c r="R6" s="474"/>
      <c r="S6" s="474"/>
      <c r="T6" s="474"/>
      <c r="U6" s="474"/>
      <c r="V6" s="474"/>
      <c r="W6" s="474"/>
    </row>
    <row r="7" spans="1:23" ht="14.25" customHeight="1">
      <c r="E7" s="4"/>
      <c r="F7" s="502"/>
      <c r="G7" s="674"/>
      <c r="H7" s="748" t="s">
        <v>313</v>
      </c>
      <c r="I7" s="749"/>
      <c r="J7" s="749"/>
      <c r="K7" s="749"/>
      <c r="L7" s="749"/>
      <c r="M7" s="749"/>
      <c r="N7" s="749"/>
      <c r="O7" s="749"/>
      <c r="P7" s="749"/>
      <c r="Q7" s="749"/>
      <c r="R7" s="749"/>
      <c r="S7" s="749"/>
      <c r="T7" s="749"/>
      <c r="U7" s="749"/>
      <c r="V7" s="749"/>
      <c r="W7" s="749"/>
    </row>
    <row r="8" spans="1:23">
      <c r="A8" s="367" t="s">
        <v>147</v>
      </c>
      <c r="B8" s="367"/>
      <c r="C8" s="367"/>
    </row>
    <row r="9" spans="1:23">
      <c r="A9" s="367"/>
      <c r="B9" s="367"/>
      <c r="C9" s="367"/>
    </row>
    <row r="10" spans="1:23">
      <c r="A10" s="4" t="s">
        <v>134</v>
      </c>
      <c r="B10" s="10"/>
      <c r="C10" s="10"/>
      <c r="D10" s="350">
        <v>5</v>
      </c>
      <c r="E10" s="11"/>
      <c r="F10" s="481">
        <v>86887.703000000009</v>
      </c>
      <c r="G10" s="13"/>
      <c r="H10" s="12">
        <v>9222.741</v>
      </c>
      <c r="I10" s="13"/>
      <c r="J10" s="12">
        <v>9528.4500000000007</v>
      </c>
      <c r="K10" s="13"/>
      <c r="L10" s="12">
        <v>68136.512000000002</v>
      </c>
      <c r="M10" s="13"/>
      <c r="N10" s="12">
        <v>86887.703000000009</v>
      </c>
      <c r="O10" s="13"/>
      <c r="P10" s="12">
        <v>74247</v>
      </c>
      <c r="Q10" s="13"/>
      <c r="R10" s="12">
        <v>75736</v>
      </c>
      <c r="S10" s="13"/>
      <c r="T10" s="12">
        <v>78562</v>
      </c>
      <c r="U10" s="13"/>
      <c r="V10" s="12">
        <v>228545</v>
      </c>
      <c r="W10" s="13"/>
    </row>
    <row r="11" spans="1:23">
      <c r="A11" s="4" t="s">
        <v>266</v>
      </c>
      <c r="B11" s="10"/>
      <c r="C11" s="10"/>
      <c r="D11" s="350">
        <v>6</v>
      </c>
      <c r="E11" s="82"/>
      <c r="F11" s="482">
        <v>97014.728000000003</v>
      </c>
      <c r="G11" s="6"/>
      <c r="H11" s="15">
        <v>97014.728000000003</v>
      </c>
      <c r="I11" s="6"/>
      <c r="J11" s="15">
        <v>0</v>
      </c>
      <c r="K11" s="6"/>
      <c r="L11" s="15">
        <v>0</v>
      </c>
      <c r="M11" s="13"/>
      <c r="N11" s="15">
        <v>97014.728000000003</v>
      </c>
      <c r="O11" s="13"/>
      <c r="P11" s="15">
        <v>26193</v>
      </c>
      <c r="Q11" s="13"/>
      <c r="R11" s="15">
        <v>0</v>
      </c>
      <c r="S11" s="13"/>
      <c r="T11" s="15">
        <v>0</v>
      </c>
      <c r="U11" s="13"/>
      <c r="V11" s="15">
        <v>26193</v>
      </c>
      <c r="W11" s="13"/>
    </row>
    <row r="12" spans="1:23" hidden="1">
      <c r="A12" s="4" t="s">
        <v>267</v>
      </c>
      <c r="B12" s="10"/>
      <c r="C12" s="10"/>
      <c r="E12" s="82"/>
      <c r="F12" s="482">
        <v>0</v>
      </c>
      <c r="G12" s="6"/>
      <c r="H12" s="15">
        <v>0</v>
      </c>
      <c r="I12" s="6"/>
      <c r="J12" s="15">
        <v>0</v>
      </c>
      <c r="K12" s="6"/>
      <c r="L12" s="15">
        <v>0</v>
      </c>
      <c r="M12" s="13"/>
      <c r="N12" s="15">
        <v>0</v>
      </c>
      <c r="O12" s="13"/>
      <c r="P12" s="15"/>
      <c r="Q12" s="13"/>
      <c r="R12" s="15"/>
      <c r="S12" s="13"/>
      <c r="T12" s="15"/>
      <c r="U12" s="13"/>
      <c r="V12" s="15">
        <v>0</v>
      </c>
      <c r="W12" s="13"/>
    </row>
    <row r="13" spans="1:23" hidden="1">
      <c r="A13" s="4" t="s">
        <v>268</v>
      </c>
      <c r="B13" s="10"/>
      <c r="C13" s="10"/>
      <c r="E13" s="82"/>
      <c r="F13" s="482">
        <v>0</v>
      </c>
      <c r="G13" s="6"/>
      <c r="H13" s="15">
        <v>0</v>
      </c>
      <c r="I13" s="6"/>
      <c r="J13" s="15">
        <v>0</v>
      </c>
      <c r="K13" s="6"/>
      <c r="L13" s="15">
        <v>0</v>
      </c>
      <c r="M13" s="13"/>
      <c r="N13" s="15">
        <v>0</v>
      </c>
      <c r="O13" s="13"/>
      <c r="P13" s="15"/>
      <c r="Q13" s="13"/>
      <c r="R13" s="15"/>
      <c r="S13" s="13"/>
      <c r="T13" s="15"/>
      <c r="U13" s="13"/>
      <c r="V13" s="15">
        <v>0</v>
      </c>
      <c r="W13" s="13"/>
    </row>
    <row r="14" spans="1:23">
      <c r="A14" s="4" t="s">
        <v>269</v>
      </c>
      <c r="B14" s="10"/>
      <c r="C14" s="10"/>
      <c r="D14" s="350"/>
      <c r="E14" s="82"/>
      <c r="F14" s="482">
        <v>86726</v>
      </c>
      <c r="G14" s="6"/>
      <c r="H14" s="15">
        <v>0</v>
      </c>
      <c r="I14" s="6"/>
      <c r="J14" s="15">
        <v>70556</v>
      </c>
      <c r="K14" s="6"/>
      <c r="L14" s="15">
        <v>16170</v>
      </c>
      <c r="M14" s="13"/>
      <c r="N14" s="15">
        <v>86726</v>
      </c>
      <c r="O14" s="13"/>
      <c r="P14" s="15"/>
      <c r="Q14" s="13"/>
      <c r="R14" s="15"/>
      <c r="S14" s="13"/>
      <c r="T14" s="15"/>
      <c r="U14" s="13"/>
      <c r="V14" s="15">
        <v>0</v>
      </c>
      <c r="W14" s="13"/>
    </row>
    <row r="15" spans="1:23" hidden="1">
      <c r="A15" s="4" t="s">
        <v>270</v>
      </c>
      <c r="B15" s="10"/>
      <c r="C15" s="10"/>
      <c r="E15" s="82"/>
      <c r="F15" s="482">
        <v>0</v>
      </c>
      <c r="G15" s="6"/>
      <c r="H15" s="15">
        <v>0</v>
      </c>
      <c r="I15" s="6"/>
      <c r="J15" s="15">
        <v>0</v>
      </c>
      <c r="K15" s="6"/>
      <c r="L15" s="15">
        <v>0</v>
      </c>
      <c r="M15" s="13"/>
      <c r="N15" s="15">
        <v>0</v>
      </c>
      <c r="O15" s="13"/>
      <c r="P15" s="15"/>
      <c r="Q15" s="13"/>
      <c r="R15" s="15"/>
      <c r="S15" s="13"/>
      <c r="T15" s="15"/>
      <c r="U15" s="13"/>
      <c r="V15" s="15">
        <v>0</v>
      </c>
      <c r="W15" s="13"/>
    </row>
    <row r="16" spans="1:23" hidden="1">
      <c r="A16" s="4" t="s">
        <v>271</v>
      </c>
      <c r="B16" s="10"/>
      <c r="C16" s="10"/>
      <c r="E16" s="82"/>
      <c r="F16" s="482">
        <v>0</v>
      </c>
      <c r="G16" s="6"/>
      <c r="H16" s="15">
        <v>0</v>
      </c>
      <c r="I16" s="6"/>
      <c r="J16" s="15">
        <v>0</v>
      </c>
      <c r="K16" s="6"/>
      <c r="L16" s="15">
        <v>0</v>
      </c>
      <c r="M16" s="13"/>
      <c r="N16" s="15">
        <v>0</v>
      </c>
      <c r="O16" s="13"/>
      <c r="P16" s="15"/>
      <c r="Q16" s="13"/>
      <c r="R16" s="15"/>
      <c r="S16" s="13"/>
      <c r="T16" s="15"/>
      <c r="U16" s="13"/>
      <c r="V16" s="15">
        <v>0</v>
      </c>
      <c r="W16" s="13"/>
    </row>
    <row r="17" spans="1:23" hidden="1">
      <c r="A17" s="4" t="s">
        <v>238</v>
      </c>
      <c r="B17" s="10"/>
      <c r="C17" s="10"/>
      <c r="E17" s="82"/>
      <c r="F17" s="482">
        <v>0</v>
      </c>
      <c r="G17" s="6"/>
      <c r="H17" s="15">
        <v>0</v>
      </c>
      <c r="I17" s="6"/>
      <c r="J17" s="15">
        <v>0</v>
      </c>
      <c r="K17" s="6"/>
      <c r="L17" s="15">
        <v>0</v>
      </c>
      <c r="M17" s="13"/>
      <c r="N17" s="15">
        <v>0</v>
      </c>
      <c r="O17" s="13"/>
      <c r="P17" s="15"/>
      <c r="Q17" s="13"/>
      <c r="R17" s="15"/>
      <c r="S17" s="13"/>
      <c r="T17" s="15"/>
      <c r="U17" s="13"/>
      <c r="V17" s="15">
        <v>0</v>
      </c>
      <c r="W17" s="13"/>
    </row>
    <row r="18" spans="1:23" hidden="1">
      <c r="A18" s="4" t="s">
        <v>165</v>
      </c>
      <c r="B18" s="10"/>
      <c r="C18" s="10"/>
      <c r="E18" s="82"/>
      <c r="F18" s="482">
        <v>0</v>
      </c>
      <c r="G18" s="6"/>
      <c r="H18" s="15">
        <v>0</v>
      </c>
      <c r="I18" s="6"/>
      <c r="J18" s="15">
        <v>0</v>
      </c>
      <c r="K18" s="6"/>
      <c r="L18" s="15">
        <v>0</v>
      </c>
      <c r="M18" s="13"/>
      <c r="N18" s="15">
        <v>0</v>
      </c>
      <c r="O18" s="13"/>
      <c r="P18" s="15"/>
      <c r="Q18" s="13"/>
      <c r="R18" s="15"/>
      <c r="S18" s="13"/>
      <c r="T18" s="15"/>
      <c r="U18" s="13"/>
      <c r="V18" s="15">
        <v>0</v>
      </c>
      <c r="W18" s="13"/>
    </row>
    <row r="19" spans="1:23">
      <c r="A19" s="4" t="s">
        <v>244</v>
      </c>
      <c r="B19" s="10"/>
      <c r="C19" s="10"/>
      <c r="D19" s="350"/>
      <c r="E19" s="83"/>
      <c r="F19" s="482">
        <v>3967.7510000000002</v>
      </c>
      <c r="G19" s="6"/>
      <c r="H19" s="15">
        <v>1936.8710000000001</v>
      </c>
      <c r="I19" s="6"/>
      <c r="J19" s="15">
        <v>1265.8820000000001</v>
      </c>
      <c r="K19" s="6"/>
      <c r="L19" s="15">
        <v>764.99800000000005</v>
      </c>
      <c r="M19" s="13"/>
      <c r="N19" s="15">
        <v>3967.7510000000002</v>
      </c>
      <c r="O19" s="13"/>
      <c r="P19" s="15">
        <v>163</v>
      </c>
      <c r="Q19" s="13"/>
      <c r="R19" s="15">
        <v>182</v>
      </c>
      <c r="S19" s="13"/>
      <c r="T19" s="15">
        <v>186</v>
      </c>
      <c r="U19" s="13"/>
      <c r="V19" s="15">
        <v>531</v>
      </c>
      <c r="W19" s="13"/>
    </row>
    <row r="20" spans="1:23">
      <c r="A20" s="4" t="s">
        <v>302</v>
      </c>
      <c r="B20" s="10"/>
      <c r="C20" s="10"/>
      <c r="D20" s="350"/>
      <c r="E20" s="83"/>
      <c r="F20" s="482">
        <v>180.17400000000001</v>
      </c>
      <c r="G20" s="6"/>
      <c r="H20" s="15">
        <v>60.058</v>
      </c>
      <c r="I20" s="6"/>
      <c r="J20" s="15">
        <v>60.058</v>
      </c>
      <c r="K20" s="6"/>
      <c r="L20" s="15">
        <v>60.058</v>
      </c>
      <c r="M20" s="13"/>
      <c r="N20" s="15">
        <v>180.17400000000001</v>
      </c>
      <c r="O20" s="13"/>
      <c r="P20" s="15">
        <v>81</v>
      </c>
      <c r="Q20" s="13"/>
      <c r="R20" s="15">
        <v>81</v>
      </c>
      <c r="S20" s="13"/>
      <c r="T20" s="15">
        <v>80</v>
      </c>
      <c r="U20" s="13"/>
      <c r="V20" s="15">
        <v>242</v>
      </c>
      <c r="W20" s="13"/>
    </row>
    <row r="21" spans="1:23">
      <c r="A21" s="78" t="s">
        <v>309</v>
      </c>
      <c r="B21" s="10"/>
      <c r="C21" s="10"/>
      <c r="E21" s="83"/>
      <c r="F21" s="483">
        <v>2700</v>
      </c>
      <c r="G21" s="6"/>
      <c r="H21" s="17">
        <v>2600</v>
      </c>
      <c r="I21" s="6"/>
      <c r="J21" s="17">
        <v>100</v>
      </c>
      <c r="K21" s="6"/>
      <c r="L21" s="17">
        <v>0</v>
      </c>
      <c r="M21" s="13"/>
      <c r="N21" s="17">
        <v>2700</v>
      </c>
      <c r="O21" s="13"/>
      <c r="P21" s="17">
        <v>12600</v>
      </c>
      <c r="Q21" s="13"/>
      <c r="R21" s="17">
        <v>100</v>
      </c>
      <c r="S21" s="13"/>
      <c r="T21" s="17">
        <v>0</v>
      </c>
      <c r="U21" s="13"/>
      <c r="V21" s="17">
        <v>12700</v>
      </c>
      <c r="W21" s="13"/>
    </row>
    <row r="22" spans="1:23">
      <c r="A22" s="367" t="s">
        <v>123</v>
      </c>
      <c r="B22" s="367"/>
      <c r="C22" s="367"/>
      <c r="E22" s="11"/>
      <c r="F22" s="480">
        <v>277476</v>
      </c>
      <c r="G22" s="6"/>
      <c r="H22" s="6">
        <v>110834</v>
      </c>
      <c r="I22" s="6"/>
      <c r="J22" s="6">
        <v>81510</v>
      </c>
      <c r="K22" s="6"/>
      <c r="L22" s="6">
        <v>85132</v>
      </c>
      <c r="N22" s="6">
        <v>277476</v>
      </c>
      <c r="P22" s="6">
        <v>113284</v>
      </c>
      <c r="R22" s="6">
        <v>76099</v>
      </c>
      <c r="T22" s="6">
        <v>78828</v>
      </c>
      <c r="V22" s="6">
        <v>268211</v>
      </c>
    </row>
    <row r="23" spans="1:23">
      <c r="E23" s="350"/>
      <c r="F23" s="484"/>
      <c r="G23" s="6"/>
      <c r="H23" s="18"/>
      <c r="I23" s="6"/>
      <c r="J23" s="18"/>
      <c r="K23" s="6"/>
      <c r="L23" s="18"/>
      <c r="M23" s="18"/>
      <c r="N23" s="18"/>
      <c r="O23" s="18"/>
      <c r="P23" s="18"/>
      <c r="Q23" s="18"/>
      <c r="R23" s="18"/>
      <c r="S23" s="18"/>
      <c r="T23" s="18"/>
      <c r="U23" s="18"/>
      <c r="V23" s="18"/>
      <c r="W23" s="18"/>
    </row>
    <row r="24" spans="1:23">
      <c r="A24" s="367" t="s">
        <v>92</v>
      </c>
      <c r="B24" s="367"/>
      <c r="C24" s="367"/>
      <c r="E24" s="350"/>
      <c r="F24" s="484"/>
      <c r="G24" s="6"/>
      <c r="H24" s="18"/>
      <c r="I24" s="6"/>
      <c r="J24" s="18"/>
      <c r="K24" s="6"/>
      <c r="L24" s="18"/>
      <c r="M24" s="18"/>
      <c r="N24" s="18"/>
      <c r="O24" s="18"/>
      <c r="P24" s="18"/>
      <c r="Q24" s="18"/>
      <c r="R24" s="18"/>
      <c r="S24" s="18"/>
      <c r="T24" s="18"/>
      <c r="U24" s="18"/>
      <c r="V24" s="18"/>
      <c r="W24" s="18"/>
    </row>
    <row r="25" spans="1:23">
      <c r="A25" s="367"/>
      <c r="B25" s="367"/>
      <c r="C25" s="367"/>
      <c r="E25" s="350"/>
      <c r="F25" s="484"/>
      <c r="G25" s="6"/>
      <c r="H25" s="18"/>
      <c r="I25" s="6"/>
      <c r="J25" s="18"/>
      <c r="K25" s="6"/>
      <c r="L25" s="18"/>
      <c r="M25" s="18"/>
      <c r="N25" s="18"/>
      <c r="O25" s="18"/>
      <c r="P25" s="18"/>
      <c r="Q25" s="18"/>
      <c r="R25" s="18"/>
      <c r="S25" s="18"/>
      <c r="T25" s="18"/>
      <c r="U25" s="18"/>
      <c r="V25" s="18"/>
      <c r="W25" s="18"/>
    </row>
    <row r="26" spans="1:23" ht="2.25" customHeight="1">
      <c r="B26" s="10"/>
      <c r="C26" s="10"/>
      <c r="E26" s="83"/>
      <c r="F26" s="481">
        <v>0</v>
      </c>
      <c r="G26" s="13"/>
      <c r="H26" s="12"/>
      <c r="I26" s="13"/>
      <c r="J26" s="12"/>
      <c r="K26" s="13"/>
      <c r="L26" s="12"/>
      <c r="M26" s="13"/>
      <c r="N26" s="12"/>
      <c r="O26" s="13"/>
      <c r="P26" s="12"/>
      <c r="Q26" s="13"/>
      <c r="R26" s="12"/>
      <c r="S26" s="13"/>
      <c r="T26" s="12"/>
      <c r="U26" s="13"/>
      <c r="V26" s="12"/>
      <c r="W26" s="13"/>
    </row>
    <row r="27" spans="1:23" ht="12" customHeight="1">
      <c r="A27" s="4" t="s">
        <v>335</v>
      </c>
      <c r="B27" s="10"/>
      <c r="C27" s="10"/>
      <c r="D27" s="350">
        <v>7</v>
      </c>
      <c r="E27" s="83"/>
      <c r="F27" s="482">
        <v>3436.5169999999998</v>
      </c>
      <c r="G27" s="13"/>
      <c r="H27" s="15">
        <v>2871.9839999999999</v>
      </c>
      <c r="I27" s="13"/>
      <c r="J27" s="15">
        <v>329.78999999999996</v>
      </c>
      <c r="K27" s="13"/>
      <c r="L27" s="15">
        <v>234.74299999999999</v>
      </c>
      <c r="M27" s="13"/>
      <c r="N27" s="15">
        <v>3436.5169999999998</v>
      </c>
      <c r="O27" s="13"/>
      <c r="P27" s="15">
        <v>2762</v>
      </c>
      <c r="Q27" s="13"/>
      <c r="R27" s="15">
        <v>260</v>
      </c>
      <c r="S27" s="13"/>
      <c r="T27" s="15">
        <v>156</v>
      </c>
      <c r="U27" s="13"/>
      <c r="V27" s="15">
        <v>3178</v>
      </c>
      <c r="W27" s="13"/>
    </row>
    <row r="28" spans="1:23" ht="12" customHeight="1">
      <c r="A28" s="4" t="s">
        <v>230</v>
      </c>
      <c r="B28" s="10"/>
      <c r="C28" s="10"/>
      <c r="D28" s="83">
        <v>8</v>
      </c>
      <c r="E28" s="83"/>
      <c r="F28" s="482">
        <v>39.638000000000005</v>
      </c>
      <c r="G28" s="13"/>
      <c r="H28" s="15">
        <v>15.125999999999999</v>
      </c>
      <c r="I28" s="13"/>
      <c r="J28" s="15">
        <v>11.66</v>
      </c>
      <c r="K28" s="13"/>
      <c r="L28" s="15">
        <v>12.852</v>
      </c>
      <c r="M28" s="13"/>
      <c r="N28" s="15">
        <v>39.638000000000005</v>
      </c>
      <c r="O28" s="13"/>
      <c r="P28" s="15">
        <v>6</v>
      </c>
      <c r="Q28" s="13"/>
      <c r="R28" s="15">
        <v>5</v>
      </c>
      <c r="S28" s="13"/>
      <c r="T28" s="15">
        <v>5</v>
      </c>
      <c r="U28" s="13"/>
      <c r="V28" s="15">
        <v>16</v>
      </c>
      <c r="W28" s="13"/>
    </row>
    <row r="29" spans="1:23">
      <c r="A29" s="4" t="s">
        <v>310</v>
      </c>
      <c r="B29" s="10"/>
      <c r="C29" s="10"/>
      <c r="E29" s="83"/>
      <c r="F29" s="482">
        <v>65.206000000000003</v>
      </c>
      <c r="G29" s="13"/>
      <c r="H29" s="15">
        <v>25.245999999999999</v>
      </c>
      <c r="I29" s="13"/>
      <c r="J29" s="15">
        <v>19.574000000000002</v>
      </c>
      <c r="K29" s="13"/>
      <c r="L29" s="15">
        <v>20.385999999999999</v>
      </c>
      <c r="M29" s="13"/>
      <c r="N29" s="15">
        <v>65.206000000000003</v>
      </c>
      <c r="O29" s="13"/>
      <c r="P29" s="15">
        <v>1</v>
      </c>
      <c r="Q29" s="13"/>
      <c r="R29" s="15">
        <v>1</v>
      </c>
      <c r="S29" s="13"/>
      <c r="T29" s="15">
        <v>1</v>
      </c>
      <c r="U29" s="13"/>
      <c r="V29" s="15">
        <v>3</v>
      </c>
      <c r="W29" s="13"/>
    </row>
    <row r="30" spans="1:23">
      <c r="A30" s="4" t="s">
        <v>274</v>
      </c>
      <c r="B30" s="10"/>
      <c r="C30" s="10"/>
      <c r="E30" s="83"/>
      <c r="F30" s="482">
        <v>1199</v>
      </c>
      <c r="G30" s="13"/>
      <c r="H30" s="15">
        <v>1199</v>
      </c>
      <c r="I30" s="13"/>
      <c r="J30" s="15">
        <v>0</v>
      </c>
      <c r="K30" s="13"/>
      <c r="L30" s="15">
        <v>0</v>
      </c>
      <c r="M30" s="13"/>
      <c r="N30" s="15">
        <v>1199</v>
      </c>
      <c r="O30" s="13"/>
      <c r="P30" s="15">
        <v>9563</v>
      </c>
      <c r="Q30" s="13"/>
      <c r="R30" s="15">
        <v>0</v>
      </c>
      <c r="S30" s="13"/>
      <c r="T30" s="15">
        <v>0</v>
      </c>
      <c r="U30" s="13"/>
      <c r="V30" s="15">
        <v>9563</v>
      </c>
      <c r="W30" s="13"/>
    </row>
    <row r="31" spans="1:23">
      <c r="A31" s="4" t="s">
        <v>311</v>
      </c>
      <c r="B31" s="10"/>
      <c r="C31" s="10"/>
      <c r="D31" s="83">
        <v>9</v>
      </c>
      <c r="E31" s="83"/>
      <c r="F31" s="482">
        <v>784</v>
      </c>
      <c r="G31" s="13"/>
      <c r="H31" s="17">
        <v>389</v>
      </c>
      <c r="I31" s="13"/>
      <c r="J31" s="17">
        <v>198</v>
      </c>
      <c r="K31" s="13"/>
      <c r="L31" s="17">
        <v>197</v>
      </c>
      <c r="M31" s="13"/>
      <c r="N31" s="17">
        <v>784</v>
      </c>
      <c r="O31" s="13"/>
      <c r="P31" s="17">
        <v>43</v>
      </c>
      <c r="Q31" s="13"/>
      <c r="R31" s="17">
        <v>42</v>
      </c>
      <c r="S31" s="13"/>
      <c r="T31" s="17">
        <v>42</v>
      </c>
      <c r="U31" s="13"/>
      <c r="V31" s="17">
        <v>127</v>
      </c>
      <c r="W31" s="13"/>
    </row>
    <row r="32" spans="1:23">
      <c r="A32" s="20" t="s">
        <v>124</v>
      </c>
      <c r="B32" s="367"/>
      <c r="C32" s="367"/>
      <c r="E32" s="350"/>
      <c r="F32" s="480">
        <v>5524</v>
      </c>
      <c r="G32" s="6"/>
      <c r="H32" s="6">
        <v>4500</v>
      </c>
      <c r="I32" s="6"/>
      <c r="J32" s="6">
        <v>559</v>
      </c>
      <c r="K32" s="6"/>
      <c r="L32" s="6">
        <v>465</v>
      </c>
      <c r="N32" s="6">
        <v>5524</v>
      </c>
      <c r="P32" s="6">
        <v>12375</v>
      </c>
      <c r="R32" s="6">
        <v>308</v>
      </c>
      <c r="T32" s="6">
        <v>204</v>
      </c>
      <c r="V32" s="6">
        <v>12887</v>
      </c>
    </row>
    <row r="33" spans="1:23">
      <c r="A33" s="20"/>
      <c r="B33" s="367"/>
      <c r="C33" s="367"/>
      <c r="E33" s="350"/>
      <c r="G33" s="6"/>
      <c r="H33" s="211"/>
      <c r="I33" s="6"/>
      <c r="J33" s="210"/>
      <c r="K33" s="6"/>
      <c r="L33" s="210"/>
      <c r="P33" s="211"/>
      <c r="R33" s="211"/>
      <c r="T33" s="211"/>
    </row>
    <row r="34" spans="1:23" ht="12.75" thickBot="1">
      <c r="A34" s="20" t="s">
        <v>93</v>
      </c>
      <c r="B34" s="367"/>
      <c r="C34" s="367"/>
      <c r="D34" s="14"/>
      <c r="E34" s="350"/>
      <c r="F34" s="485">
        <v>271952</v>
      </c>
      <c r="G34" s="6"/>
      <c r="H34" s="164">
        <v>106334</v>
      </c>
      <c r="I34" s="18"/>
      <c r="J34" s="164">
        <v>80951</v>
      </c>
      <c r="K34" s="18"/>
      <c r="L34" s="164">
        <v>84667</v>
      </c>
      <c r="M34" s="42"/>
      <c r="N34" s="164">
        <v>271952</v>
      </c>
      <c r="O34" s="13"/>
      <c r="P34" s="164">
        <v>100909</v>
      </c>
      <c r="Q34" s="13"/>
      <c r="R34" s="164">
        <v>75791</v>
      </c>
      <c r="S34" s="13"/>
      <c r="T34" s="164">
        <v>78624</v>
      </c>
      <c r="U34" s="13"/>
      <c r="V34" s="164">
        <v>255324</v>
      </c>
      <c r="W34" s="13"/>
    </row>
    <row r="35" spans="1:23" ht="12.75" thickTop="1">
      <c r="A35" s="19"/>
      <c r="E35" s="350"/>
      <c r="F35" s="486"/>
      <c r="G35" s="6"/>
      <c r="H35" s="22"/>
      <c r="I35" s="6"/>
      <c r="J35" s="22"/>
      <c r="K35" s="6"/>
      <c r="L35" s="22"/>
      <c r="M35" s="22"/>
      <c r="N35" s="22"/>
      <c r="O35" s="22"/>
      <c r="P35" s="22"/>
      <c r="Q35" s="22"/>
      <c r="R35" s="22"/>
      <c r="S35" s="22"/>
      <c r="T35" s="22"/>
      <c r="U35" s="22"/>
      <c r="V35" s="22"/>
      <c r="W35" s="22"/>
    </row>
    <row r="36" spans="1:23" ht="12.75" thickBot="1">
      <c r="A36" s="20" t="s">
        <v>312</v>
      </c>
      <c r="B36" s="367"/>
      <c r="C36" s="367"/>
      <c r="E36" s="350"/>
      <c r="F36" s="487">
        <v>271952.38199999998</v>
      </c>
      <c r="G36" s="6"/>
      <c r="H36" s="512">
        <v>106334.28600000001</v>
      </c>
      <c r="I36" s="18"/>
      <c r="J36" s="512">
        <v>80951.478000000003</v>
      </c>
      <c r="K36" s="18"/>
      <c r="L36" s="512">
        <v>84666.618000000002</v>
      </c>
      <c r="M36" s="13"/>
      <c r="N36" s="512">
        <v>271952.38199999998</v>
      </c>
      <c r="O36" s="13"/>
      <c r="P36" s="512">
        <v>100909</v>
      </c>
      <c r="Q36" s="13"/>
      <c r="R36" s="512">
        <v>75791</v>
      </c>
      <c r="S36" s="13"/>
      <c r="T36" s="512">
        <v>78624</v>
      </c>
      <c r="U36" s="13"/>
      <c r="V36" s="512">
        <v>255324</v>
      </c>
      <c r="W36" s="13"/>
    </row>
    <row r="37" spans="1:23" ht="12.75" thickTop="1">
      <c r="A37" s="20"/>
      <c r="B37" s="367"/>
      <c r="C37" s="42"/>
      <c r="E37" s="350"/>
      <c r="F37" s="488"/>
      <c r="G37" s="18"/>
      <c r="H37" s="42"/>
      <c r="I37" s="18"/>
      <c r="J37" s="42"/>
      <c r="K37" s="18"/>
      <c r="L37" s="42"/>
      <c r="M37" s="42"/>
      <c r="N37" s="42"/>
      <c r="O37" s="42"/>
      <c r="P37" s="42"/>
      <c r="Q37" s="42"/>
      <c r="R37" s="42"/>
      <c r="S37" s="42"/>
      <c r="T37" s="42"/>
      <c r="U37" s="42"/>
      <c r="V37" s="42"/>
      <c r="W37" s="42"/>
    </row>
    <row r="38" spans="1:23">
      <c r="A38" s="101" t="s">
        <v>83</v>
      </c>
      <c r="B38" s="10"/>
      <c r="C38" s="10"/>
      <c r="D38" s="83">
        <v>10</v>
      </c>
      <c r="E38" s="75"/>
      <c r="F38" s="489"/>
      <c r="G38" s="99"/>
      <c r="H38" s="99"/>
      <c r="I38" s="99"/>
      <c r="J38" s="99"/>
      <c r="K38" s="99"/>
      <c r="L38" s="99"/>
      <c r="M38" s="99"/>
      <c r="N38" s="99"/>
      <c r="O38" s="99"/>
      <c r="P38" s="99"/>
      <c r="Q38" s="99"/>
      <c r="R38" s="99"/>
      <c r="S38" s="99"/>
      <c r="T38" s="99"/>
      <c r="U38" s="99"/>
      <c r="V38" s="99"/>
      <c r="W38" s="99"/>
    </row>
    <row r="39" spans="1:23">
      <c r="A39" s="23"/>
      <c r="B39" s="10"/>
      <c r="C39" s="10"/>
      <c r="E39" s="350"/>
      <c r="F39" s="750" t="s">
        <v>554</v>
      </c>
      <c r="G39" s="751"/>
      <c r="H39" s="751"/>
      <c r="I39" s="751"/>
      <c r="J39" s="751"/>
      <c r="K39" s="751"/>
      <c r="L39" s="751"/>
      <c r="M39" s="751"/>
      <c r="N39" s="751"/>
      <c r="O39" s="751"/>
      <c r="P39" s="751"/>
      <c r="Q39" s="751"/>
      <c r="R39" s="751"/>
      <c r="S39" s="751"/>
      <c r="T39" s="751"/>
      <c r="U39" s="751"/>
      <c r="V39" s="751"/>
      <c r="W39" s="752"/>
    </row>
    <row r="40" spans="1:23">
      <c r="A40" s="23"/>
      <c r="B40" s="10"/>
      <c r="C40" s="10"/>
      <c r="E40" s="350"/>
      <c r="F40" s="490"/>
      <c r="G40" s="72"/>
      <c r="H40" s="81"/>
      <c r="I40" s="72"/>
      <c r="J40" s="81"/>
      <c r="K40" s="72"/>
      <c r="L40" s="81"/>
      <c r="M40" s="81"/>
      <c r="N40" s="81"/>
      <c r="O40" s="81"/>
      <c r="P40" s="81"/>
      <c r="Q40" s="81"/>
      <c r="R40" s="81"/>
      <c r="S40" s="81"/>
      <c r="T40" s="81"/>
      <c r="U40" s="81"/>
      <c r="V40" s="81"/>
      <c r="W40" s="81"/>
    </row>
    <row r="41" spans="1:23" ht="12.75" thickBot="1">
      <c r="A41" s="20" t="s">
        <v>125</v>
      </c>
      <c r="B41" s="10"/>
      <c r="C41" s="10"/>
      <c r="D41" s="83">
        <v>11</v>
      </c>
      <c r="E41" s="83"/>
      <c r="F41" s="487"/>
      <c r="H41" s="100">
        <v>10870700.8399</v>
      </c>
      <c r="J41" s="100">
        <v>7907418.4154000003</v>
      </c>
      <c r="L41" s="100">
        <v>8290781.8163999999</v>
      </c>
      <c r="M41" s="13"/>
      <c r="N41" s="13"/>
      <c r="O41" s="13"/>
      <c r="P41" s="100">
        <v>10086979</v>
      </c>
      <c r="Q41" s="4"/>
      <c r="R41" s="100">
        <v>7571026</v>
      </c>
      <c r="S41" s="4"/>
      <c r="T41" s="100">
        <v>7853950</v>
      </c>
      <c r="U41" s="13"/>
      <c r="V41" s="13"/>
      <c r="W41" s="13"/>
    </row>
    <row r="42" spans="1:23" ht="12.75" thickTop="1">
      <c r="A42" s="20"/>
      <c r="B42" s="10"/>
      <c r="C42" s="10"/>
      <c r="E42" s="350"/>
      <c r="Q42" s="4"/>
      <c r="S42" s="4"/>
    </row>
    <row r="43" spans="1:23">
      <c r="A43" s="54"/>
      <c r="E43" s="573"/>
      <c r="F43" s="573"/>
      <c r="G43" s="564"/>
      <c r="H43" s="750" t="s">
        <v>275</v>
      </c>
      <c r="I43" s="753"/>
      <c r="J43" s="753"/>
      <c r="K43" s="753"/>
      <c r="L43" s="754"/>
      <c r="O43" s="564"/>
      <c r="P43" s="750" t="s">
        <v>275</v>
      </c>
      <c r="Q43" s="753"/>
      <c r="R43" s="753"/>
      <c r="S43" s="753"/>
      <c r="T43" s="754"/>
      <c r="W43" s="564"/>
    </row>
    <row r="44" spans="1:23">
      <c r="A44" s="54"/>
      <c r="F44" s="491"/>
      <c r="G44" s="462"/>
      <c r="H44" s="462"/>
      <c r="I44" s="462"/>
      <c r="J44" s="462"/>
      <c r="K44" s="462"/>
      <c r="L44" s="462"/>
      <c r="M44" s="462"/>
      <c r="N44" s="462"/>
      <c r="O44" s="462"/>
      <c r="P44" s="462"/>
      <c r="Q44" s="462"/>
      <c r="R44" s="462"/>
      <c r="S44" s="462"/>
      <c r="T44" s="462"/>
      <c r="U44" s="462"/>
      <c r="V44" s="462"/>
      <c r="W44" s="462"/>
    </row>
    <row r="45" spans="1:23" ht="12.75" thickBot="1">
      <c r="A45" s="367" t="s">
        <v>66</v>
      </c>
      <c r="B45" s="367"/>
      <c r="C45" s="367"/>
      <c r="E45" s="350"/>
      <c r="F45" s="492"/>
      <c r="H45" s="468">
        <v>9.7817060340497939</v>
      </c>
      <c r="J45" s="468">
        <v>10.237348746127411</v>
      </c>
      <c r="L45" s="468">
        <v>10.212185276968713</v>
      </c>
      <c r="M45" s="475"/>
      <c r="N45" s="475"/>
      <c r="O45" s="475"/>
      <c r="P45" s="468">
        <v>10.003887189613462</v>
      </c>
      <c r="Q45" s="4"/>
      <c r="R45" s="468">
        <v>10.010664340605883</v>
      </c>
      <c r="S45" s="4"/>
      <c r="T45" s="468">
        <v>10.010758917487379</v>
      </c>
      <c r="U45" s="475"/>
      <c r="V45" s="475"/>
      <c r="W45" s="475"/>
    </row>
    <row r="46" spans="1:23" ht="12.75" thickTop="1">
      <c r="E46" s="350"/>
      <c r="F46" s="493"/>
      <c r="H46" s="24"/>
      <c r="J46" s="24"/>
      <c r="L46" s="24"/>
      <c r="M46" s="24"/>
      <c r="N46" s="24"/>
      <c r="O46" s="24"/>
      <c r="P46" s="24"/>
      <c r="Q46" s="24"/>
      <c r="R46" s="24"/>
      <c r="S46" s="24"/>
      <c r="T46" s="24"/>
      <c r="U46" s="24"/>
      <c r="V46" s="24"/>
      <c r="W46" s="24"/>
    </row>
    <row r="47" spans="1:23">
      <c r="A47" s="134" t="s">
        <v>555</v>
      </c>
      <c r="F47" s="494"/>
      <c r="H47" s="13"/>
      <c r="J47" s="13"/>
      <c r="L47" s="13"/>
      <c r="M47" s="13"/>
      <c r="N47" s="13"/>
      <c r="O47" s="13"/>
      <c r="P47" s="13"/>
      <c r="Q47" s="13"/>
      <c r="R47" s="13"/>
      <c r="S47" s="13"/>
      <c r="T47" s="13"/>
      <c r="U47" s="13"/>
      <c r="V47" s="13"/>
      <c r="W47" s="13"/>
    </row>
    <row r="48" spans="1:23">
      <c r="F48" s="494"/>
      <c r="H48" s="13"/>
      <c r="J48" s="13"/>
      <c r="L48" s="13"/>
      <c r="M48" s="13"/>
      <c r="N48" s="13"/>
      <c r="O48" s="13"/>
      <c r="P48" s="13"/>
      <c r="Q48" s="13"/>
      <c r="R48" s="13"/>
      <c r="S48" s="13"/>
      <c r="T48" s="13"/>
      <c r="U48" s="13"/>
      <c r="V48" s="13"/>
      <c r="W48" s="13"/>
    </row>
    <row r="49" spans="1:23">
      <c r="A49" s="65"/>
      <c r="C49" s="3"/>
      <c r="D49" s="3"/>
      <c r="E49" s="3"/>
      <c r="F49" s="3"/>
      <c r="G49" s="3"/>
      <c r="H49" s="413"/>
      <c r="I49" s="470"/>
      <c r="J49" s="470"/>
      <c r="K49" s="413"/>
      <c r="L49" s="470"/>
      <c r="M49" s="470"/>
      <c r="N49" s="470"/>
      <c r="O49" s="470"/>
      <c r="P49" s="470"/>
      <c r="Q49" s="470"/>
      <c r="R49" s="470"/>
      <c r="S49" s="470"/>
      <c r="T49" s="470"/>
      <c r="U49" s="470"/>
      <c r="V49" s="470"/>
      <c r="W49" s="470"/>
    </row>
    <row r="50" spans="1:23" ht="15.75" customHeight="1">
      <c r="A50" s="272" t="s">
        <v>552</v>
      </c>
      <c r="B50" s="272"/>
      <c r="C50" s="272"/>
      <c r="D50" s="272"/>
      <c r="E50" s="272"/>
      <c r="F50" s="272"/>
      <c r="G50" s="272"/>
      <c r="H50" s="272"/>
      <c r="I50" s="272"/>
      <c r="J50" s="272"/>
      <c r="K50" s="272"/>
      <c r="L50" s="272"/>
      <c r="M50" s="272"/>
      <c r="N50" s="272"/>
      <c r="O50" s="272"/>
      <c r="P50" s="272"/>
      <c r="Q50" s="272"/>
      <c r="R50" s="272"/>
      <c r="S50" s="272"/>
      <c r="T50" s="272"/>
      <c r="U50" s="272"/>
      <c r="V50" s="272"/>
      <c r="W50" s="3"/>
    </row>
    <row r="51" spans="1:23">
      <c r="A51" s="350" t="s">
        <v>538</v>
      </c>
      <c r="B51" s="65" t="s">
        <v>553</v>
      </c>
      <c r="C51" s="350"/>
      <c r="D51" s="656"/>
      <c r="E51" s="656"/>
      <c r="F51" s="495"/>
      <c r="G51" s="656"/>
      <c r="H51" s="656"/>
      <c r="I51" s="656"/>
      <c r="J51" s="656"/>
      <c r="K51" s="656"/>
      <c r="L51" s="656"/>
      <c r="M51" s="656"/>
      <c r="N51" s="656"/>
      <c r="O51" s="656"/>
      <c r="P51" s="656"/>
      <c r="Q51" s="656"/>
      <c r="R51" s="656"/>
      <c r="S51" s="656"/>
      <c r="T51" s="656"/>
      <c r="U51" s="656"/>
      <c r="V51" s="656"/>
      <c r="W51" s="3"/>
    </row>
    <row r="52" spans="1:23">
      <c r="D52" s="413"/>
      <c r="E52" s="413"/>
      <c r="F52" s="495"/>
      <c r="G52" s="413"/>
      <c r="H52" s="413"/>
      <c r="I52" s="413"/>
      <c r="J52" s="413"/>
      <c r="K52" s="413"/>
      <c r="L52" s="413"/>
      <c r="M52" s="413"/>
      <c r="N52" s="413"/>
      <c r="O52" s="413"/>
      <c r="P52" s="607"/>
      <c r="Q52" s="607"/>
      <c r="R52" s="607"/>
      <c r="S52" s="607"/>
      <c r="T52" s="607"/>
      <c r="U52" s="607"/>
      <c r="V52" s="607"/>
      <c r="W52" s="607"/>
    </row>
    <row r="53" spans="1:23">
      <c r="D53" s="413"/>
      <c r="E53" s="413"/>
      <c r="F53" s="495"/>
      <c r="G53" s="413"/>
      <c r="H53" s="413"/>
      <c r="I53" s="413"/>
      <c r="J53" s="413"/>
      <c r="K53" s="413"/>
      <c r="L53" s="413"/>
      <c r="M53" s="413"/>
      <c r="N53" s="413"/>
      <c r="O53" s="413"/>
      <c r="P53" s="607"/>
      <c r="Q53" s="607"/>
      <c r="R53" s="607"/>
      <c r="S53" s="607"/>
      <c r="T53" s="607"/>
      <c r="U53" s="607"/>
      <c r="V53" s="607"/>
      <c r="W53" s="607"/>
    </row>
    <row r="54" spans="1:23">
      <c r="D54" s="413"/>
      <c r="E54" s="413"/>
      <c r="F54" s="495"/>
      <c r="G54" s="413"/>
      <c r="H54" s="413"/>
      <c r="I54" s="413"/>
      <c r="J54" s="413"/>
      <c r="K54" s="413"/>
      <c r="L54" s="413"/>
      <c r="M54" s="413"/>
      <c r="N54" s="413"/>
      <c r="O54" s="413"/>
      <c r="P54" s="607"/>
      <c r="Q54" s="607"/>
      <c r="R54" s="607"/>
      <c r="S54" s="607"/>
      <c r="T54" s="607"/>
      <c r="U54" s="607"/>
      <c r="V54" s="607"/>
      <c r="W54" s="607"/>
    </row>
    <row r="55" spans="1:23">
      <c r="E55" s="4"/>
      <c r="F55" s="496"/>
      <c r="H55" s="4"/>
      <c r="J55" s="4"/>
      <c r="L55" s="4"/>
      <c r="M55" s="4"/>
      <c r="N55" s="4"/>
      <c r="O55" s="4"/>
      <c r="P55" s="4"/>
      <c r="Q55" s="4"/>
      <c r="R55" s="4"/>
      <c r="S55" s="4"/>
      <c r="T55" s="4"/>
      <c r="U55" s="4"/>
      <c r="V55" s="4"/>
      <c r="W55" s="4"/>
    </row>
    <row r="56" spans="1:23" s="29" customFormat="1">
      <c r="A56" s="65" t="s">
        <v>539</v>
      </c>
      <c r="B56" s="27"/>
      <c r="C56" s="27"/>
      <c r="D56" s="27"/>
      <c r="E56" s="28"/>
      <c r="F56" s="497"/>
      <c r="G56" s="27"/>
      <c r="H56" s="27"/>
      <c r="I56" s="27"/>
      <c r="J56" s="27"/>
      <c r="K56" s="27"/>
      <c r="L56" s="27"/>
      <c r="M56" s="27"/>
      <c r="N56" s="27"/>
      <c r="O56" s="27"/>
      <c r="P56" s="27"/>
      <c r="Q56" s="27"/>
      <c r="R56" s="27"/>
      <c r="S56" s="27"/>
      <c r="T56" s="27"/>
      <c r="U56" s="27"/>
      <c r="V56" s="27"/>
      <c r="W56" s="27"/>
    </row>
    <row r="59" spans="1:23">
      <c r="C59" s="4" t="s">
        <v>443</v>
      </c>
      <c r="H59" s="6">
        <v>106334</v>
      </c>
      <c r="J59" s="6">
        <v>80948.972244000004</v>
      </c>
      <c r="L59" s="6">
        <v>84664.307964000007</v>
      </c>
    </row>
    <row r="60" spans="1:23">
      <c r="H60" s="210">
        <v>9.9224537300674864</v>
      </c>
      <c r="J60" s="210">
        <v>10.266244251442327</v>
      </c>
      <c r="L60" s="210">
        <v>10.341508784101487</v>
      </c>
    </row>
    <row r="61" spans="1:23">
      <c r="H61" s="210">
        <v>-0.4585524138538819</v>
      </c>
      <c r="J61" s="210">
        <v>-0.12357298814661277</v>
      </c>
      <c r="L61" s="210">
        <v>-0.22588626192404426</v>
      </c>
    </row>
  </sheetData>
  <customSheetViews>
    <customSheetView guid="{84FBBE83-FF6F-4C76-A58E-D04643F715A5}" showPageBreaks="1" printArea="1" hiddenRows="1" view="pageBreakPreview" topLeftCell="A16">
      <selection activeCell="K26" sqref="K26"/>
      <pageMargins left="0.75" right="0.5" top="0.5" bottom="0.25" header="0" footer="0"/>
      <printOptions horizontalCentered="1"/>
      <pageSetup paperSize="9" orientation="portrait" r:id="rId1"/>
      <headerFooter alignWithMargins="0">
        <oddFooter>&amp;C1 of 11</oddFooter>
      </headerFooter>
    </customSheetView>
  </customSheetViews>
  <mergeCells count="6">
    <mergeCell ref="H4:N4"/>
    <mergeCell ref="H7:W7"/>
    <mergeCell ref="F39:W39"/>
    <mergeCell ref="H43:L43"/>
    <mergeCell ref="P4:V4"/>
    <mergeCell ref="P43:T43"/>
  </mergeCells>
  <phoneticPr fontId="6" type="noConversion"/>
  <printOptions horizontalCentered="1"/>
  <pageMargins left="0.75" right="0.5" top="0.5" bottom="0.25" header="0" footer="0"/>
  <pageSetup paperSize="9" scale="87" fitToWidth="12" fitToHeight="12" orientation="landscape" r:id="rId2"/>
  <headerFooter alignWithMargins="0">
    <oddFooter>&amp;C1 of 9</oddFooter>
  </headerFooter>
</worksheet>
</file>

<file path=xl/worksheets/sheet5.xml><?xml version="1.0" encoding="utf-8"?>
<worksheet xmlns="http://schemas.openxmlformats.org/spreadsheetml/2006/main" xmlns:r="http://schemas.openxmlformats.org/officeDocument/2006/relationships">
  <sheetPr codeName="Sheet5">
    <tabColor indexed="11"/>
  </sheetPr>
  <dimension ref="A1:GQ65"/>
  <sheetViews>
    <sheetView view="pageBreakPreview" zoomScaleSheetLayoutView="100" workbookViewId="0">
      <pane xSplit="6" ySplit="7" topLeftCell="G52" activePane="bottomRight" state="frozen"/>
      <selection activeCell="C49" sqref="C49"/>
      <selection pane="topRight" activeCell="C49" sqref="C49"/>
      <selection pane="bottomLeft" activeCell="C49" sqref="C49"/>
      <selection pane="bottomRight" activeCell="C49" sqref="C49"/>
    </sheetView>
  </sheetViews>
  <sheetFormatPr defaultRowHeight="12"/>
  <cols>
    <col min="1" max="1" width="5.125" style="25" customWidth="1"/>
    <col min="2" max="2" width="6.5" style="25" customWidth="1"/>
    <col min="3" max="3" width="37.75" style="25" customWidth="1"/>
    <col min="4" max="4" width="3.125" style="35" customWidth="1"/>
    <col min="5" max="5" width="9.375" style="480" hidden="1" customWidth="1"/>
    <col min="6" max="6" width="0.875" style="25" customWidth="1"/>
    <col min="7" max="7" width="9.5" style="38" customWidth="1"/>
    <col min="8" max="8" width="1" style="38" customWidth="1"/>
    <col min="9" max="9" width="9" style="25"/>
    <col min="10" max="10" width="0.75" style="25" customWidth="1"/>
    <col min="11" max="11" width="9" style="25"/>
    <col min="12" max="12" width="0.875" style="25" customWidth="1"/>
    <col min="13" max="13" width="9" style="25"/>
    <col min="14" max="14" width="0.5" style="25" customWidth="1"/>
    <col min="15" max="15" width="9" style="25" customWidth="1"/>
    <col min="16" max="16" width="0.875" style="25" customWidth="1"/>
    <col min="17" max="17" width="9" style="25" customWidth="1"/>
    <col min="18" max="18" width="0.875" style="25" customWidth="1"/>
    <col min="19" max="19" width="9" style="25" customWidth="1"/>
    <col min="20" max="20" width="0.875" style="25" customWidth="1"/>
    <col min="21" max="21" width="9" style="25"/>
    <col min="22" max="22" width="0.625" style="25" customWidth="1"/>
    <col min="23" max="16384" width="9" style="25"/>
  </cols>
  <sheetData>
    <row r="1" spans="1:21">
      <c r="A1" s="2" t="s">
        <v>255</v>
      </c>
      <c r="B1" s="2"/>
      <c r="C1" s="2"/>
      <c r="D1" s="2"/>
      <c r="E1" s="477"/>
      <c r="F1" s="2"/>
      <c r="G1" s="2"/>
      <c r="H1" s="2"/>
    </row>
    <row r="2" spans="1:21">
      <c r="A2" s="432" t="s">
        <v>240</v>
      </c>
      <c r="B2" s="45"/>
      <c r="C2" s="45"/>
      <c r="D2" s="53"/>
      <c r="E2" s="498"/>
      <c r="F2" s="34"/>
      <c r="G2" s="36"/>
      <c r="H2" s="36"/>
    </row>
    <row r="3" spans="1:21">
      <c r="A3" s="45" t="s">
        <v>446</v>
      </c>
      <c r="B3" s="45"/>
      <c r="C3" s="45"/>
      <c r="D3" s="53"/>
      <c r="E3" s="499"/>
      <c r="F3" s="34"/>
      <c r="G3" s="36"/>
      <c r="H3" s="36"/>
    </row>
    <row r="4" spans="1:21">
      <c r="A4" s="45"/>
      <c r="B4" s="45"/>
      <c r="C4" s="45"/>
      <c r="D4" s="53"/>
      <c r="E4" s="499"/>
      <c r="F4" s="34"/>
      <c r="G4" s="757" t="s">
        <v>448</v>
      </c>
      <c r="H4" s="758"/>
      <c r="I4" s="758"/>
      <c r="J4" s="758"/>
      <c r="K4" s="758"/>
      <c r="L4" s="758"/>
      <c r="M4" s="759"/>
      <c r="O4" s="757" t="s">
        <v>447</v>
      </c>
      <c r="P4" s="758"/>
      <c r="Q4" s="758"/>
      <c r="R4" s="758"/>
      <c r="S4" s="758"/>
      <c r="T4" s="758"/>
      <c r="U4" s="759"/>
    </row>
    <row r="5" spans="1:21" ht="48">
      <c r="A5" s="45"/>
      <c r="B5" s="45"/>
      <c r="C5" s="45"/>
      <c r="D5" s="53"/>
      <c r="E5" s="478" t="s">
        <v>255</v>
      </c>
      <c r="F5" s="4"/>
      <c r="G5" s="507" t="s">
        <v>305</v>
      </c>
      <c r="H5" s="4"/>
      <c r="I5" s="507" t="s">
        <v>306</v>
      </c>
      <c r="J5" s="4"/>
      <c r="K5" s="508" t="s">
        <v>307</v>
      </c>
      <c r="L5" s="506"/>
      <c r="M5" s="508" t="s">
        <v>213</v>
      </c>
      <c r="O5" s="507" t="s">
        <v>305</v>
      </c>
      <c r="P5" s="4"/>
      <c r="Q5" s="507" t="s">
        <v>306</v>
      </c>
      <c r="R5" s="4"/>
      <c r="S5" s="508" t="s">
        <v>307</v>
      </c>
      <c r="T5" s="506"/>
      <c r="U5" s="508" t="s">
        <v>213</v>
      </c>
    </row>
    <row r="6" spans="1:21" hidden="1">
      <c r="A6" s="45"/>
      <c r="B6" s="45"/>
      <c r="C6" s="45"/>
      <c r="D6" s="53"/>
      <c r="E6" s="479" t="s">
        <v>141</v>
      </c>
      <c r="F6" s="413"/>
      <c r="G6" s="469" t="s">
        <v>141</v>
      </c>
      <c r="H6" s="413"/>
      <c r="I6" s="469" t="s">
        <v>141</v>
      </c>
      <c r="J6" s="413"/>
      <c r="K6" s="469" t="s">
        <v>141</v>
      </c>
      <c r="L6" s="474"/>
      <c r="M6" s="474"/>
    </row>
    <row r="7" spans="1:21" s="237" customFormat="1" ht="12" customHeight="1">
      <c r="D7" s="239"/>
      <c r="E7" s="748" t="s">
        <v>419</v>
      </c>
      <c r="F7" s="748"/>
      <c r="G7" s="748"/>
      <c r="H7" s="748"/>
      <c r="I7" s="748"/>
      <c r="J7" s="748"/>
      <c r="K7" s="748"/>
      <c r="L7" s="748"/>
      <c r="M7" s="748"/>
      <c r="N7" s="748"/>
      <c r="O7" s="748"/>
      <c r="P7" s="748"/>
      <c r="Q7" s="748"/>
      <c r="R7" s="748"/>
      <c r="S7" s="748"/>
      <c r="T7" s="748"/>
      <c r="U7" s="748"/>
    </row>
    <row r="8" spans="1:21" s="237" customFormat="1" ht="11.1" customHeight="1">
      <c r="E8" s="500"/>
      <c r="F8" s="466"/>
      <c r="G8" s="466"/>
      <c r="H8" s="387"/>
    </row>
    <row r="9" spans="1:21" s="237" customFormat="1" ht="5.25" customHeight="1">
      <c r="E9" s="501"/>
      <c r="F9" s="270"/>
      <c r="G9" s="270"/>
      <c r="H9" s="270"/>
    </row>
    <row r="10" spans="1:21" s="237" customFormat="1" ht="12.75" customHeight="1">
      <c r="A10" s="177" t="s">
        <v>94</v>
      </c>
      <c r="B10" s="177"/>
      <c r="C10" s="177"/>
      <c r="D10" s="35"/>
      <c r="E10" s="480"/>
      <c r="F10" s="4"/>
      <c r="G10" s="6"/>
      <c r="H10" s="38"/>
      <c r="I10" s="25"/>
      <c r="J10" s="25"/>
      <c r="K10" s="25"/>
      <c r="L10" s="25"/>
      <c r="M10" s="25"/>
    </row>
    <row r="11" spans="1:21" s="237" customFormat="1" ht="14.25" customHeight="1">
      <c r="A11" s="4" t="s">
        <v>60</v>
      </c>
      <c r="B11" s="54"/>
      <c r="C11" s="54"/>
      <c r="D11" s="173"/>
      <c r="E11" s="480">
        <v>4055.2739999999999</v>
      </c>
      <c r="F11" s="4"/>
      <c r="G11" s="6">
        <v>4055.2739999999999</v>
      </c>
      <c r="H11" s="10">
        <v>0</v>
      </c>
      <c r="I11" s="6">
        <v>0</v>
      </c>
      <c r="J11" s="25">
        <v>0</v>
      </c>
      <c r="K11" s="6">
        <v>0</v>
      </c>
      <c r="L11" s="6"/>
      <c r="M11" s="6">
        <v>4055.2739999999999</v>
      </c>
      <c r="O11" s="6">
        <v>2905.2739999999999</v>
      </c>
      <c r="Q11" s="6">
        <v>0</v>
      </c>
      <c r="S11" s="6">
        <v>0</v>
      </c>
      <c r="U11" s="6">
        <v>2905.2739999999999</v>
      </c>
    </row>
    <row r="12" spans="1:21" s="237" customFormat="1" ht="9.9499999999999993" hidden="1" customHeight="1">
      <c r="A12" s="4" t="s">
        <v>154</v>
      </c>
      <c r="B12" s="54"/>
      <c r="C12" s="54"/>
      <c r="D12" s="173"/>
      <c r="E12" s="480">
        <v>0</v>
      </c>
      <c r="F12" s="6"/>
      <c r="G12" s="6">
        <v>0</v>
      </c>
      <c r="H12" s="10">
        <v>0</v>
      </c>
      <c r="I12" s="6">
        <v>0</v>
      </c>
      <c r="J12" s="25">
        <v>0</v>
      </c>
      <c r="K12" s="6">
        <v>0</v>
      </c>
      <c r="L12" s="6"/>
      <c r="M12" s="6"/>
      <c r="O12" s="6"/>
      <c r="Q12" s="6"/>
      <c r="S12" s="6"/>
      <c r="U12" s="6"/>
    </row>
    <row r="13" spans="1:21" s="237" customFormat="1" ht="12" hidden="1" customHeight="1">
      <c r="A13" s="4" t="s">
        <v>20</v>
      </c>
      <c r="B13" s="174"/>
      <c r="C13" s="174"/>
      <c r="D13" s="173"/>
      <c r="E13" s="480">
        <v>0</v>
      </c>
      <c r="F13" s="4"/>
      <c r="G13" s="6">
        <v>0</v>
      </c>
      <c r="H13" s="10">
        <v>0</v>
      </c>
      <c r="I13" s="6">
        <v>0</v>
      </c>
      <c r="J13" s="25">
        <v>0</v>
      </c>
      <c r="K13" s="6">
        <v>0</v>
      </c>
      <c r="L13" s="6"/>
      <c r="M13" s="6"/>
      <c r="O13" s="6"/>
      <c r="Q13" s="6"/>
      <c r="S13" s="6"/>
      <c r="U13" s="6"/>
    </row>
    <row r="14" spans="1:21" s="237" customFormat="1" ht="15" customHeight="1">
      <c r="A14" s="4" t="s">
        <v>135</v>
      </c>
      <c r="B14" s="174"/>
      <c r="C14" s="174"/>
      <c r="D14" s="173"/>
      <c r="E14" s="480">
        <v>5786.7510000000002</v>
      </c>
      <c r="F14" s="4"/>
      <c r="G14" s="6">
        <v>531.37400000000002</v>
      </c>
      <c r="H14" s="10">
        <v>0</v>
      </c>
      <c r="I14" s="6">
        <v>2430.2429999999999</v>
      </c>
      <c r="J14" s="25">
        <v>0</v>
      </c>
      <c r="K14" s="6">
        <v>2825.134</v>
      </c>
      <c r="L14" s="6"/>
      <c r="M14" s="6">
        <v>5786.7510000000002</v>
      </c>
      <c r="O14" s="6">
        <v>301.37400000000002</v>
      </c>
      <c r="Q14" s="6">
        <v>1440.2429999999999</v>
      </c>
      <c r="S14" s="6">
        <v>1854.134</v>
      </c>
      <c r="U14" s="6">
        <v>3595.7510000000002</v>
      </c>
    </row>
    <row r="15" spans="1:21" s="237" customFormat="1" ht="9.9499999999999993" hidden="1" customHeight="1">
      <c r="A15" s="4" t="s">
        <v>272</v>
      </c>
      <c r="B15" s="54"/>
      <c r="C15" s="54"/>
      <c r="D15" s="35"/>
      <c r="E15" s="480">
        <v>0</v>
      </c>
      <c r="F15" s="13"/>
      <c r="G15" s="6">
        <v>0</v>
      </c>
      <c r="H15" s="513"/>
      <c r="I15" s="6">
        <v>0</v>
      </c>
      <c r="J15" s="25"/>
      <c r="K15" s="6">
        <v>0</v>
      </c>
      <c r="L15" s="6"/>
      <c r="M15" s="6"/>
      <c r="O15" s="6">
        <v>0</v>
      </c>
      <c r="Q15" s="6">
        <v>0</v>
      </c>
      <c r="S15" s="6">
        <v>0</v>
      </c>
      <c r="U15" s="6"/>
    </row>
    <row r="16" spans="1:21" s="237" customFormat="1" ht="9.9499999999999993" hidden="1" customHeight="1">
      <c r="A16" s="4" t="s">
        <v>273</v>
      </c>
      <c r="B16" s="54"/>
      <c r="C16" s="54"/>
      <c r="D16" s="35"/>
      <c r="E16" s="480">
        <v>0</v>
      </c>
      <c r="F16" s="13"/>
      <c r="G16" s="6">
        <v>0</v>
      </c>
      <c r="H16" s="513"/>
      <c r="I16" s="6">
        <v>0</v>
      </c>
      <c r="J16" s="25"/>
      <c r="K16" s="6">
        <v>0</v>
      </c>
      <c r="L16" s="6"/>
      <c r="M16" s="6"/>
      <c r="O16" s="6">
        <v>0</v>
      </c>
      <c r="Q16" s="6">
        <v>0</v>
      </c>
      <c r="S16" s="6">
        <v>0</v>
      </c>
      <c r="U16" s="6"/>
    </row>
    <row r="17" spans="1:21" s="237" customFormat="1" ht="2.25" customHeight="1">
      <c r="A17" s="4"/>
      <c r="B17" s="54"/>
      <c r="C17" s="54"/>
      <c r="D17" s="35"/>
      <c r="E17" s="480">
        <v>0</v>
      </c>
      <c r="F17" s="13"/>
      <c r="G17" s="6">
        <v>0</v>
      </c>
      <c r="H17" s="513"/>
      <c r="I17" s="6">
        <v>0</v>
      </c>
      <c r="J17" s="25"/>
      <c r="K17" s="6">
        <v>0</v>
      </c>
      <c r="L17" s="6"/>
      <c r="M17" s="6"/>
      <c r="O17" s="6">
        <v>0</v>
      </c>
      <c r="Q17" s="6">
        <v>0</v>
      </c>
      <c r="S17" s="6">
        <v>0</v>
      </c>
      <c r="U17" s="6"/>
    </row>
    <row r="18" spans="1:21" s="237" customFormat="1" ht="12" customHeight="1">
      <c r="A18" s="54"/>
      <c r="B18" s="54"/>
      <c r="C18" s="54"/>
      <c r="D18" s="350"/>
      <c r="E18" s="514">
        <v>9842.0249999999996</v>
      </c>
      <c r="F18" s="6"/>
      <c r="G18" s="95">
        <v>4585.6480000000001</v>
      </c>
      <c r="H18" s="176"/>
      <c r="I18" s="95">
        <v>2430.2429999999999</v>
      </c>
      <c r="J18" s="515" t="e">
        <v>#REF!</v>
      </c>
      <c r="K18" s="95">
        <v>2825.134</v>
      </c>
      <c r="L18" s="13"/>
      <c r="M18" s="95">
        <v>9842.0249999999996</v>
      </c>
      <c r="O18" s="95">
        <v>3206.6480000000001</v>
      </c>
      <c r="Q18" s="95">
        <v>1440.2429999999999</v>
      </c>
      <c r="S18" s="95">
        <v>1854.134</v>
      </c>
      <c r="U18" s="95">
        <v>6501.0249999999996</v>
      </c>
    </row>
    <row r="19" spans="1:21" s="237" customFormat="1" ht="9.9499999999999993" hidden="1" customHeight="1">
      <c r="A19" s="330" t="s">
        <v>190</v>
      </c>
      <c r="B19" s="54"/>
      <c r="C19" s="54"/>
      <c r="D19" s="350"/>
      <c r="E19" s="494"/>
      <c r="F19" s="6"/>
      <c r="G19" s="13"/>
      <c r="H19" s="176"/>
      <c r="I19" s="13"/>
      <c r="J19" s="25"/>
      <c r="K19" s="13"/>
      <c r="L19" s="13"/>
      <c r="M19" s="13"/>
      <c r="O19" s="13"/>
      <c r="Q19" s="13"/>
      <c r="S19" s="13"/>
      <c r="U19" s="13"/>
    </row>
    <row r="20" spans="1:21" s="237" customFormat="1" ht="9.9499999999999993" hidden="1" customHeight="1">
      <c r="A20" s="223" t="s">
        <v>2</v>
      </c>
      <c r="B20" s="54"/>
      <c r="C20" s="54"/>
      <c r="D20" s="35"/>
      <c r="E20" s="480"/>
      <c r="F20" s="13"/>
      <c r="G20" s="6"/>
      <c r="H20" s="513"/>
      <c r="I20" s="6"/>
      <c r="J20" s="25"/>
      <c r="K20" s="6"/>
      <c r="L20" s="6"/>
      <c r="M20" s="6"/>
      <c r="O20" s="6"/>
      <c r="Q20" s="6"/>
      <c r="S20" s="6"/>
      <c r="U20" s="6"/>
    </row>
    <row r="21" spans="1:21" s="237" customFormat="1" ht="9.9499999999999993" hidden="1" customHeight="1">
      <c r="A21" s="175" t="s">
        <v>1</v>
      </c>
      <c r="B21" s="54"/>
      <c r="C21" s="54"/>
      <c r="D21" s="173"/>
      <c r="E21" s="480">
        <v>0</v>
      </c>
      <c r="F21" s="13"/>
      <c r="G21" s="13">
        <v>0</v>
      </c>
      <c r="H21" s="513"/>
      <c r="I21" s="6">
        <v>0</v>
      </c>
      <c r="J21" s="25"/>
      <c r="K21" s="6">
        <v>0</v>
      </c>
      <c r="L21" s="6"/>
      <c r="M21" s="6"/>
      <c r="O21" s="6">
        <v>0</v>
      </c>
      <c r="Q21" s="6">
        <v>0</v>
      </c>
      <c r="S21" s="6">
        <v>0</v>
      </c>
      <c r="U21" s="6"/>
    </row>
    <row r="22" spans="1:21" s="237" customFormat="1" ht="9.9499999999999993" hidden="1" customHeight="1">
      <c r="A22" s="94"/>
      <c r="B22" s="176"/>
      <c r="C22" s="176"/>
      <c r="D22" s="350"/>
      <c r="E22" s="514">
        <v>9842.0249999999996</v>
      </c>
      <c r="F22" s="6"/>
      <c r="G22" s="95">
        <v>4585.6480000000001</v>
      </c>
      <c r="H22" s="330"/>
      <c r="I22" s="95">
        <v>2430.2429999999999</v>
      </c>
      <c r="J22" s="25"/>
      <c r="K22" s="95">
        <v>2825.134</v>
      </c>
      <c r="L22" s="13"/>
      <c r="M22" s="95">
        <v>9842.0249999999996</v>
      </c>
      <c r="O22" s="95">
        <v>3206.6480000000001</v>
      </c>
      <c r="Q22" s="95">
        <v>1440.2429999999999</v>
      </c>
      <c r="S22" s="95">
        <v>1854.134</v>
      </c>
      <c r="U22" s="95">
        <v>6501.0249999999996</v>
      </c>
    </row>
    <row r="23" spans="1:21" s="237" customFormat="1" ht="13.5" customHeight="1">
      <c r="A23" s="177" t="s">
        <v>81</v>
      </c>
      <c r="B23" s="177"/>
      <c r="C23" s="177"/>
      <c r="D23" s="173"/>
      <c r="E23" s="480"/>
      <c r="F23" s="6"/>
      <c r="G23" s="6"/>
      <c r="H23" s="176"/>
      <c r="I23" s="6"/>
      <c r="J23" s="25"/>
      <c r="K23" s="6"/>
      <c r="L23" s="6"/>
      <c r="M23" s="6"/>
      <c r="O23" s="6"/>
      <c r="Q23" s="6"/>
      <c r="S23" s="6"/>
      <c r="U23" s="6"/>
    </row>
    <row r="24" spans="1:21" s="237" customFormat="1">
      <c r="A24" s="54" t="s">
        <v>21</v>
      </c>
      <c r="B24" s="177"/>
      <c r="C24" s="177"/>
      <c r="D24" s="173"/>
      <c r="E24" s="481">
        <v>7073.7520000000004</v>
      </c>
      <c r="F24" s="6"/>
      <c r="G24" s="12">
        <v>7073.7520000000004</v>
      </c>
      <c r="H24" s="516"/>
      <c r="I24" s="12">
        <v>0</v>
      </c>
      <c r="J24" s="25"/>
      <c r="K24" s="12">
        <v>0</v>
      </c>
      <c r="L24" s="13"/>
      <c r="M24" s="12">
        <v>7073.7520000000004</v>
      </c>
      <c r="O24" s="12">
        <v>7073.7520000000004</v>
      </c>
      <c r="Q24" s="12">
        <v>0</v>
      </c>
      <c r="S24" s="12">
        <v>0</v>
      </c>
      <c r="U24" s="12">
        <v>7073.7520000000004</v>
      </c>
    </row>
    <row r="25" spans="1:21" s="237" customFormat="1">
      <c r="A25" s="54" t="s">
        <v>417</v>
      </c>
      <c r="B25" s="54"/>
      <c r="C25" s="54"/>
      <c r="D25" s="178"/>
      <c r="E25" s="482">
        <v>2971.2090000000003</v>
      </c>
      <c r="F25" s="13"/>
      <c r="G25" s="15">
        <v>1151.404</v>
      </c>
      <c r="H25" s="516">
        <v>0</v>
      </c>
      <c r="I25" s="15">
        <v>892.02300000000002</v>
      </c>
      <c r="J25" s="25">
        <v>0</v>
      </c>
      <c r="K25" s="15">
        <v>927.78200000000004</v>
      </c>
      <c r="L25" s="13"/>
      <c r="M25" s="15">
        <v>2971.2090000000003</v>
      </c>
      <c r="O25" s="15">
        <v>765.404</v>
      </c>
      <c r="Q25" s="15">
        <v>600.02300000000002</v>
      </c>
      <c r="S25" s="15">
        <v>623.78200000000004</v>
      </c>
      <c r="U25" s="15">
        <v>1989.2090000000003</v>
      </c>
    </row>
    <row r="26" spans="1:21" s="237" customFormat="1">
      <c r="A26" s="54" t="s">
        <v>415</v>
      </c>
      <c r="B26" s="54"/>
      <c r="C26" s="54"/>
      <c r="D26" s="517"/>
      <c r="E26" s="482">
        <v>482.53399999999999</v>
      </c>
      <c r="F26" s="13"/>
      <c r="G26" s="15">
        <v>187.001</v>
      </c>
      <c r="H26" s="516">
        <v>0</v>
      </c>
      <c r="I26" s="15">
        <v>144.86500000000001</v>
      </c>
      <c r="J26" s="25">
        <v>0</v>
      </c>
      <c r="K26" s="15">
        <v>150.66800000000001</v>
      </c>
      <c r="L26" s="13"/>
      <c r="M26" s="15">
        <v>482.53399999999999</v>
      </c>
      <c r="O26" s="15">
        <v>124.001</v>
      </c>
      <c r="Q26" s="15">
        <v>97.865000000000009</v>
      </c>
      <c r="S26" s="15">
        <v>101.66800000000001</v>
      </c>
      <c r="U26" s="15">
        <v>323.53399999999999</v>
      </c>
    </row>
    <row r="27" spans="1:21" s="237" customFormat="1">
      <c r="A27" s="54" t="s">
        <v>416</v>
      </c>
      <c r="B27" s="54"/>
      <c r="C27" s="54"/>
      <c r="D27" s="517"/>
      <c r="E27" s="482">
        <v>474.83299999999997</v>
      </c>
      <c r="F27" s="13"/>
      <c r="G27" s="15">
        <v>184.09100000000001</v>
      </c>
      <c r="H27" s="516">
        <v>0</v>
      </c>
      <c r="I27" s="15">
        <v>142.53399999999999</v>
      </c>
      <c r="J27" s="25">
        <v>0</v>
      </c>
      <c r="K27" s="15">
        <v>148.208</v>
      </c>
      <c r="L27" s="13"/>
      <c r="M27" s="15">
        <v>474.83299999999997</v>
      </c>
      <c r="O27" s="15">
        <v>123.09100000000001</v>
      </c>
      <c r="Q27" s="15">
        <v>95.533999999999992</v>
      </c>
      <c r="S27" s="15">
        <v>99.207999999999998</v>
      </c>
      <c r="U27" s="15">
        <v>317.83299999999997</v>
      </c>
    </row>
    <row r="28" spans="1:21" s="237" customFormat="1">
      <c r="A28" s="54" t="s">
        <v>432</v>
      </c>
      <c r="B28" s="54"/>
      <c r="C28" s="54"/>
      <c r="D28" s="173"/>
      <c r="E28" s="482">
        <v>304.19</v>
      </c>
      <c r="F28" s="13"/>
      <c r="G28" s="15">
        <v>114.66399999999999</v>
      </c>
      <c r="H28" s="516">
        <v>0</v>
      </c>
      <c r="I28" s="15">
        <v>93.314999999999998</v>
      </c>
      <c r="J28" s="25">
        <v>0</v>
      </c>
      <c r="K28" s="15">
        <v>96.210999999999999</v>
      </c>
      <c r="L28" s="13"/>
      <c r="M28" s="15">
        <v>304.19</v>
      </c>
      <c r="O28" s="15">
        <v>71.663999999999987</v>
      </c>
      <c r="Q28" s="15">
        <v>60.314999999999998</v>
      </c>
      <c r="S28" s="15">
        <v>62.210999999999999</v>
      </c>
      <c r="U28" s="15">
        <v>194.19</v>
      </c>
    </row>
    <row r="29" spans="1:21" s="237" customFormat="1">
      <c r="A29" s="54" t="s">
        <v>433</v>
      </c>
      <c r="B29" s="54"/>
      <c r="C29" s="54"/>
      <c r="D29" s="517"/>
      <c r="E29" s="482"/>
      <c r="F29" s="13"/>
      <c r="G29" s="15">
        <v>16</v>
      </c>
      <c r="H29" s="516"/>
      <c r="I29" s="15">
        <v>8</v>
      </c>
      <c r="J29" s="25"/>
      <c r="K29" s="15">
        <v>9</v>
      </c>
      <c r="L29" s="13"/>
      <c r="M29" s="15">
        <v>33</v>
      </c>
      <c r="O29" s="15">
        <v>16</v>
      </c>
      <c r="Q29" s="15">
        <v>8</v>
      </c>
      <c r="S29" s="15">
        <v>9</v>
      </c>
      <c r="U29" s="15">
        <v>33</v>
      </c>
    </row>
    <row r="30" spans="1:21" s="237" customFormat="1">
      <c r="A30" s="54" t="s">
        <v>156</v>
      </c>
      <c r="B30" s="54"/>
      <c r="C30" s="54"/>
      <c r="D30" s="518"/>
      <c r="E30" s="482">
        <v>65.180000000000007</v>
      </c>
      <c r="F30" s="13"/>
      <c r="G30" s="15">
        <v>25.245999999999999</v>
      </c>
      <c r="H30" s="516">
        <v>0</v>
      </c>
      <c r="I30" s="15">
        <v>19.574000000000002</v>
      </c>
      <c r="J30" s="25">
        <v>0</v>
      </c>
      <c r="K30" s="15">
        <v>20.36</v>
      </c>
      <c r="L30" s="13"/>
      <c r="M30" s="15">
        <v>65.180000000000007</v>
      </c>
      <c r="O30" s="15">
        <v>17.245999999999999</v>
      </c>
      <c r="Q30" s="15">
        <v>13.574000000000002</v>
      </c>
      <c r="S30" s="15">
        <v>13.36</v>
      </c>
      <c r="U30" s="15">
        <v>44.18</v>
      </c>
    </row>
    <row r="31" spans="1:21" s="237" customFormat="1" hidden="1">
      <c r="A31" s="672" t="s">
        <v>421</v>
      </c>
      <c r="B31" s="672"/>
      <c r="C31" s="672"/>
      <c r="D31" s="518"/>
      <c r="E31" s="482"/>
      <c r="F31" s="13"/>
      <c r="G31" s="15"/>
      <c r="H31" s="516"/>
      <c r="I31" s="15"/>
      <c r="J31" s="25"/>
      <c r="K31" s="15"/>
      <c r="L31" s="13"/>
      <c r="M31" s="15"/>
      <c r="O31" s="15"/>
      <c r="Q31" s="15"/>
      <c r="S31" s="15"/>
      <c r="U31" s="15"/>
    </row>
    <row r="32" spans="1:21" s="237" customFormat="1" hidden="1">
      <c r="A32" s="671" t="s">
        <v>422</v>
      </c>
      <c r="B32" s="672"/>
      <c r="C32" s="672"/>
      <c r="D32" s="518"/>
      <c r="E32" s="482"/>
      <c r="F32" s="13"/>
      <c r="G32" s="15">
        <v>0</v>
      </c>
      <c r="H32" s="516"/>
      <c r="I32" s="15">
        <v>0</v>
      </c>
      <c r="J32" s="25"/>
      <c r="K32" s="15">
        <v>0</v>
      </c>
      <c r="L32" s="13"/>
      <c r="M32" s="15">
        <v>0</v>
      </c>
      <c r="O32" s="15">
        <v>0</v>
      </c>
      <c r="Q32" s="15">
        <v>0</v>
      </c>
      <c r="S32" s="15">
        <v>0</v>
      </c>
      <c r="U32" s="15">
        <v>0</v>
      </c>
    </row>
    <row r="33" spans="1:21" s="237" customFormat="1">
      <c r="A33" s="54" t="s">
        <v>303</v>
      </c>
      <c r="B33" s="34"/>
      <c r="C33" s="34"/>
      <c r="D33" s="75"/>
      <c r="E33" s="482">
        <v>181.101</v>
      </c>
      <c r="F33" s="13"/>
      <c r="G33" s="15">
        <v>60.366999999999997</v>
      </c>
      <c r="H33" s="516">
        <v>0</v>
      </c>
      <c r="I33" s="15">
        <v>60.366999999999997</v>
      </c>
      <c r="J33" s="25">
        <v>0</v>
      </c>
      <c r="K33" s="15">
        <v>60.366999999999997</v>
      </c>
      <c r="L33" s="13"/>
      <c r="M33" s="15">
        <v>180.101</v>
      </c>
      <c r="O33" s="15">
        <v>23.366999999999997</v>
      </c>
      <c r="Q33" s="15">
        <v>23.366999999999997</v>
      </c>
      <c r="S33" s="15">
        <v>23.366999999999997</v>
      </c>
      <c r="U33" s="15">
        <v>70.100999999999999</v>
      </c>
    </row>
    <row r="34" spans="1:21" s="237" customFormat="1">
      <c r="A34" s="54" t="s">
        <v>434</v>
      </c>
      <c r="B34" s="34"/>
      <c r="C34" s="34"/>
      <c r="D34" s="75"/>
      <c r="E34" s="482">
        <v>61.875</v>
      </c>
      <c r="F34" s="13"/>
      <c r="G34" s="15">
        <v>20.625</v>
      </c>
      <c r="H34" s="516">
        <v>0</v>
      </c>
      <c r="I34" s="15">
        <v>20.625</v>
      </c>
      <c r="J34" s="25">
        <v>0</v>
      </c>
      <c r="K34" s="15">
        <v>20.625</v>
      </c>
      <c r="L34" s="13"/>
      <c r="M34" s="15">
        <v>62.875</v>
      </c>
      <c r="O34" s="15">
        <v>13.625</v>
      </c>
      <c r="Q34" s="15">
        <v>13.625</v>
      </c>
      <c r="S34" s="15">
        <v>13.625</v>
      </c>
      <c r="U34" s="15">
        <v>40.875</v>
      </c>
    </row>
    <row r="35" spans="1:21" s="237" customFormat="1">
      <c r="A35" s="54" t="s">
        <v>155</v>
      </c>
      <c r="B35" s="34"/>
      <c r="C35" s="34"/>
      <c r="D35" s="179"/>
      <c r="E35" s="482">
        <v>48.847999999999999</v>
      </c>
      <c r="F35" s="6"/>
      <c r="G35" s="15">
        <v>16.283000000000001</v>
      </c>
      <c r="H35" s="516">
        <v>0</v>
      </c>
      <c r="I35" s="15">
        <v>8.3360000000000003</v>
      </c>
      <c r="J35" s="25">
        <v>0</v>
      </c>
      <c r="K35" s="15">
        <v>24.228999999999999</v>
      </c>
      <c r="L35" s="13"/>
      <c r="M35" s="15">
        <v>47.847999999999999</v>
      </c>
      <c r="O35" s="15">
        <v>16.283000000000001</v>
      </c>
      <c r="Q35" s="15">
        <v>8.3360000000000003</v>
      </c>
      <c r="S35" s="15">
        <v>24.228999999999999</v>
      </c>
      <c r="U35" s="15">
        <v>48.847999999999999</v>
      </c>
    </row>
    <row r="36" spans="1:21" s="237" customFormat="1">
      <c r="A36" s="54" t="s">
        <v>148</v>
      </c>
      <c r="B36" s="54"/>
      <c r="C36" s="54"/>
      <c r="D36" s="173"/>
      <c r="E36" s="482">
        <v>15.166999999999998</v>
      </c>
      <c r="F36" s="13"/>
      <c r="G36" s="15">
        <v>10.106999999999999</v>
      </c>
      <c r="H36" s="516">
        <v>0</v>
      </c>
      <c r="I36" s="15">
        <v>5.0599999999999996</v>
      </c>
      <c r="J36" s="25">
        <v>0</v>
      </c>
      <c r="K36" s="15">
        <v>0</v>
      </c>
      <c r="L36" s="13"/>
      <c r="M36" s="15">
        <v>15.166999999999998</v>
      </c>
      <c r="O36" s="15">
        <v>4.1069999999999993</v>
      </c>
      <c r="Q36" s="15">
        <v>3.0599999999999996</v>
      </c>
      <c r="S36" s="15">
        <v>0</v>
      </c>
      <c r="U36" s="15">
        <v>7.1669999999999989</v>
      </c>
    </row>
    <row r="37" spans="1:21" s="237" customFormat="1" hidden="1">
      <c r="A37" s="54" t="s">
        <v>145</v>
      </c>
      <c r="B37" s="34"/>
      <c r="C37" s="34"/>
      <c r="D37" s="179"/>
      <c r="E37" s="482">
        <v>0</v>
      </c>
      <c r="F37" s="6"/>
      <c r="G37" s="15">
        <v>0</v>
      </c>
      <c r="H37" s="516">
        <v>0</v>
      </c>
      <c r="I37" s="15">
        <v>0</v>
      </c>
      <c r="J37" s="25">
        <v>0</v>
      </c>
      <c r="K37" s="15">
        <v>0</v>
      </c>
      <c r="L37" s="13"/>
      <c r="M37" s="15">
        <v>0</v>
      </c>
      <c r="O37" s="15">
        <v>0</v>
      </c>
      <c r="Q37" s="15">
        <v>0</v>
      </c>
      <c r="S37" s="15">
        <v>0</v>
      </c>
      <c r="U37" s="15">
        <v>0</v>
      </c>
    </row>
    <row r="38" spans="1:21" s="237" customFormat="1" hidden="1">
      <c r="A38" s="54" t="s">
        <v>229</v>
      </c>
      <c r="B38" s="34"/>
      <c r="C38" s="34"/>
      <c r="D38" s="75"/>
      <c r="E38" s="482">
        <v>0</v>
      </c>
      <c r="F38" s="13"/>
      <c r="G38" s="15">
        <v>0</v>
      </c>
      <c r="H38" s="516">
        <v>0</v>
      </c>
      <c r="I38" s="15">
        <v>0</v>
      </c>
      <c r="J38" s="25">
        <v>0</v>
      </c>
      <c r="K38" s="15">
        <v>0</v>
      </c>
      <c r="L38" s="13"/>
      <c r="M38" s="15">
        <v>0</v>
      </c>
      <c r="O38" s="15">
        <v>0</v>
      </c>
      <c r="Q38" s="15">
        <v>0</v>
      </c>
      <c r="S38" s="15">
        <v>0</v>
      </c>
      <c r="U38" s="15">
        <v>0</v>
      </c>
    </row>
    <row r="39" spans="1:21" s="237" customFormat="1" ht="13.5" customHeight="1">
      <c r="A39" s="25" t="s">
        <v>8</v>
      </c>
      <c r="B39" s="25"/>
      <c r="C39" s="25"/>
      <c r="D39" s="173"/>
      <c r="E39" s="482">
        <v>65</v>
      </c>
      <c r="F39" s="6"/>
      <c r="G39" s="15">
        <v>21.667999999999999</v>
      </c>
      <c r="H39" s="516">
        <v>0</v>
      </c>
      <c r="I39" s="15">
        <v>21.666</v>
      </c>
      <c r="J39" s="25">
        <v>0</v>
      </c>
      <c r="K39" s="15">
        <v>21.666</v>
      </c>
      <c r="L39" s="13"/>
      <c r="M39" s="15">
        <v>66</v>
      </c>
      <c r="O39" s="15">
        <v>13.667999999999999</v>
      </c>
      <c r="Q39" s="15">
        <v>13.666</v>
      </c>
      <c r="S39" s="15">
        <v>13.666</v>
      </c>
      <c r="U39" s="15">
        <v>41</v>
      </c>
    </row>
    <row r="40" spans="1:21" s="237" customFormat="1" ht="13.5" hidden="1" customHeight="1">
      <c r="A40" s="496" t="s">
        <v>411</v>
      </c>
      <c r="B40" s="496"/>
      <c r="C40" s="496"/>
      <c r="D40" s="659"/>
      <c r="E40" s="482"/>
      <c r="F40" s="6"/>
      <c r="G40" s="15">
        <v>0</v>
      </c>
      <c r="H40" s="516"/>
      <c r="I40" s="15">
        <v>0</v>
      </c>
      <c r="J40" s="25"/>
      <c r="K40" s="15">
        <v>0</v>
      </c>
      <c r="L40" s="13"/>
      <c r="M40" s="15">
        <v>0</v>
      </c>
      <c r="O40" s="15">
        <v>0</v>
      </c>
      <c r="Q40" s="15">
        <v>0</v>
      </c>
      <c r="S40" s="15">
        <v>0</v>
      </c>
      <c r="U40" s="15">
        <v>0</v>
      </c>
    </row>
    <row r="41" spans="1:21" s="237" customFormat="1" ht="3.75" customHeight="1">
      <c r="A41" s="25"/>
      <c r="B41" s="25"/>
      <c r="C41" s="25"/>
      <c r="D41" s="25"/>
      <c r="E41" s="483">
        <v>0</v>
      </c>
      <c r="F41" s="25"/>
      <c r="G41" s="17">
        <v>0</v>
      </c>
      <c r="H41" s="515"/>
      <c r="I41" s="17">
        <v>0</v>
      </c>
      <c r="J41" s="25"/>
      <c r="K41" s="17">
        <v>0</v>
      </c>
      <c r="L41" s="13"/>
      <c r="M41" s="17"/>
      <c r="O41" s="17"/>
      <c r="Q41" s="17"/>
      <c r="S41" s="17"/>
      <c r="U41" s="17"/>
    </row>
    <row r="42" spans="1:21" s="237" customFormat="1">
      <c r="A42" s="177" t="s">
        <v>449</v>
      </c>
      <c r="B42" s="25"/>
      <c r="C42" s="25"/>
      <c r="D42" s="173"/>
      <c r="E42" s="494">
        <v>11743.689000000002</v>
      </c>
      <c r="F42" s="6"/>
      <c r="G42" s="13">
        <v>8881.2080000000005</v>
      </c>
      <c r="H42" s="516"/>
      <c r="I42" s="13">
        <v>1416.365</v>
      </c>
      <c r="J42" s="515" t="e">
        <v>#REF!</v>
      </c>
      <c r="K42" s="13">
        <v>1479.116</v>
      </c>
      <c r="L42" s="13"/>
      <c r="M42" s="13">
        <v>11776.689000000002</v>
      </c>
      <c r="O42" s="13">
        <v>8262.2080000000005</v>
      </c>
      <c r="Q42" s="13">
        <v>937.36500000000001</v>
      </c>
      <c r="S42" s="13">
        <v>984.1160000000001</v>
      </c>
      <c r="U42" s="13">
        <v>10183.689000000002</v>
      </c>
    </row>
    <row r="43" spans="1:21" s="237" customFormat="1" ht="9.9499999999999993" customHeight="1">
      <c r="A43" s="25"/>
      <c r="B43" s="25"/>
      <c r="C43" s="25"/>
      <c r="D43" s="173"/>
      <c r="E43" s="494"/>
      <c r="F43" s="6"/>
      <c r="G43" s="13"/>
      <c r="H43" s="176"/>
      <c r="I43" s="13"/>
      <c r="J43" s="25"/>
      <c r="K43" s="13"/>
      <c r="L43" s="13"/>
      <c r="M43" s="13"/>
      <c r="O43" s="13"/>
      <c r="Q43" s="13"/>
      <c r="S43" s="13"/>
      <c r="U43" s="13"/>
    </row>
    <row r="44" spans="1:21" s="237" customFormat="1">
      <c r="A44" s="177" t="s">
        <v>450</v>
      </c>
      <c r="B44" s="177"/>
      <c r="C44" s="177"/>
      <c r="D44" s="173"/>
      <c r="E44" s="514">
        <v>-1901.6640000000025</v>
      </c>
      <c r="F44" s="6"/>
      <c r="G44" s="95">
        <v>-4294.5600000000004</v>
      </c>
      <c r="H44" s="176"/>
      <c r="I44" s="95">
        <v>1013.8779999999999</v>
      </c>
      <c r="J44" s="25"/>
      <c r="K44" s="95">
        <v>1346.018</v>
      </c>
      <c r="L44" s="13"/>
      <c r="M44" s="95">
        <v>-1934.6640000000025</v>
      </c>
      <c r="O44" s="95">
        <v>-5055.5600000000004</v>
      </c>
      <c r="Q44" s="95">
        <v>502.87799999999993</v>
      </c>
      <c r="S44" s="95">
        <v>870.01799999999992</v>
      </c>
      <c r="U44" s="95">
        <v>-3682.6640000000025</v>
      </c>
    </row>
    <row r="45" spans="1:21" s="237" customFormat="1" ht="9.9499999999999993" customHeight="1">
      <c r="A45" s="177"/>
      <c r="B45" s="177"/>
      <c r="C45" s="177"/>
      <c r="D45" s="173"/>
      <c r="E45" s="494"/>
      <c r="F45" s="6"/>
      <c r="G45" s="13"/>
      <c r="H45" s="176"/>
      <c r="I45" s="13"/>
      <c r="J45" s="25"/>
      <c r="K45" s="13"/>
      <c r="L45" s="13"/>
      <c r="M45" s="13"/>
      <c r="O45" s="13"/>
      <c r="Q45" s="13"/>
      <c r="S45" s="13"/>
      <c r="U45" s="13"/>
    </row>
    <row r="46" spans="1:21" s="237" customFormat="1" ht="13.5" customHeight="1">
      <c r="A46" s="25" t="s">
        <v>95</v>
      </c>
      <c r="B46" s="177"/>
      <c r="C46" s="177"/>
      <c r="D46" s="519"/>
      <c r="E46" s="480">
        <v>0</v>
      </c>
      <c r="F46" s="6"/>
      <c r="G46" s="13">
        <v>0</v>
      </c>
      <c r="H46" s="337"/>
      <c r="I46" s="13">
        <v>0</v>
      </c>
      <c r="J46" s="25"/>
      <c r="K46" s="13">
        <v>0</v>
      </c>
      <c r="L46" s="13"/>
      <c r="M46" s="13">
        <v>0</v>
      </c>
      <c r="O46" s="13">
        <v>0</v>
      </c>
      <c r="Q46" s="13">
        <v>0</v>
      </c>
      <c r="S46" s="13">
        <v>0</v>
      </c>
      <c r="U46" s="13">
        <v>0</v>
      </c>
    </row>
    <row r="47" spans="1:21" s="237" customFormat="1" ht="9.9499999999999993" customHeight="1">
      <c r="A47" s="25"/>
      <c r="B47" s="177"/>
      <c r="C47" s="177"/>
      <c r="D47" s="173"/>
      <c r="E47" s="494"/>
      <c r="F47" s="6"/>
      <c r="G47" s="13"/>
      <c r="H47" s="176"/>
      <c r="I47" s="13"/>
      <c r="J47" s="25"/>
      <c r="K47" s="13"/>
      <c r="L47" s="13"/>
      <c r="M47" s="13"/>
      <c r="O47" s="13"/>
      <c r="Q47" s="13"/>
      <c r="S47" s="13"/>
      <c r="U47" s="13"/>
    </row>
    <row r="48" spans="1:21" s="237" customFormat="1" ht="18.75" customHeight="1" thickBot="1">
      <c r="A48" s="177" t="s">
        <v>540</v>
      </c>
      <c r="B48" s="177"/>
      <c r="C48" s="177"/>
      <c r="D48" s="181"/>
      <c r="E48" s="520" t="e">
        <v>#REF!</v>
      </c>
      <c r="F48" s="406"/>
      <c r="G48" s="182">
        <v>-4294.5600000000004</v>
      </c>
      <c r="H48" s="176"/>
      <c r="I48" s="182">
        <v>1013.8779999999999</v>
      </c>
      <c r="J48" s="521" t="e">
        <v>#REF!</v>
      </c>
      <c r="K48" s="182">
        <v>1346.018</v>
      </c>
      <c r="L48" s="186"/>
      <c r="M48" s="182">
        <v>-1934.6640000000025</v>
      </c>
      <c r="O48" s="182">
        <v>-5055.5600000000004</v>
      </c>
      <c r="Q48" s="182">
        <v>502.87799999999993</v>
      </c>
      <c r="S48" s="182">
        <v>870.01799999999992</v>
      </c>
      <c r="U48" s="182">
        <v>-3682.6640000000025</v>
      </c>
    </row>
    <row r="49" spans="1:199" s="262" customFormat="1" ht="9.9499999999999993" customHeight="1" thickTop="1">
      <c r="A49" s="183"/>
      <c r="B49" s="184"/>
      <c r="C49" s="184"/>
      <c r="D49" s="181"/>
      <c r="E49" s="522"/>
      <c r="F49" s="406"/>
      <c r="G49" s="186"/>
      <c r="H49" s="523"/>
      <c r="I49" s="185"/>
      <c r="J49" s="185"/>
      <c r="K49" s="185"/>
      <c r="L49" s="185"/>
      <c r="M49" s="185"/>
    </row>
    <row r="50" spans="1:199" s="262" customFormat="1" ht="9.9499999999999993" customHeight="1">
      <c r="A50" s="524"/>
      <c r="B50" s="177"/>
      <c r="C50" s="177"/>
      <c r="D50" s="519"/>
      <c r="E50" s="525"/>
      <c r="F50" s="4"/>
      <c r="G50" s="4"/>
      <c r="H50" s="25"/>
      <c r="I50" s="185"/>
      <c r="J50" s="185"/>
      <c r="K50" s="185"/>
      <c r="L50" s="185"/>
      <c r="M50" s="185"/>
    </row>
    <row r="51" spans="1:199" s="237" customFormat="1" ht="9.9499999999999993" customHeight="1">
      <c r="A51" s="25"/>
      <c r="B51" s="25"/>
      <c r="C51" s="25"/>
      <c r="D51" s="35"/>
      <c r="E51" s="526"/>
      <c r="F51" s="526"/>
      <c r="G51" s="760" t="s">
        <v>304</v>
      </c>
      <c r="H51" s="761"/>
      <c r="I51" s="761"/>
      <c r="J51" s="761"/>
      <c r="K51" s="762"/>
      <c r="L51" s="527"/>
      <c r="M51" s="527"/>
      <c r="O51" s="760" t="s">
        <v>304</v>
      </c>
      <c r="P51" s="761"/>
      <c r="Q51" s="761"/>
      <c r="R51" s="761"/>
      <c r="S51" s="762"/>
    </row>
    <row r="52" spans="1:199" s="237" customFormat="1" ht="9.9499999999999993" customHeight="1">
      <c r="A52" s="25"/>
      <c r="B52" s="25"/>
      <c r="C52" s="25"/>
      <c r="D52" s="35"/>
      <c r="E52" s="528"/>
      <c r="F52" s="504"/>
      <c r="G52" s="504"/>
      <c r="H52" s="504"/>
      <c r="I52" s="25"/>
      <c r="J52" s="25"/>
      <c r="K52" s="25"/>
      <c r="L52" s="25"/>
      <c r="M52" s="25"/>
      <c r="O52" s="657"/>
      <c r="P52" s="657"/>
      <c r="Q52" s="25"/>
      <c r="R52" s="25"/>
      <c r="S52" s="25"/>
    </row>
    <row r="53" spans="1:199" s="237" customFormat="1" ht="12.75" thickBot="1">
      <c r="A53" s="524" t="s">
        <v>451</v>
      </c>
      <c r="B53" s="25"/>
      <c r="C53" s="25"/>
      <c r="D53" s="583">
        <v>12</v>
      </c>
      <c r="E53" s="529"/>
      <c r="F53" s="10"/>
      <c r="G53" s="530">
        <v>-0.40626953707570307</v>
      </c>
      <c r="H53" s="411"/>
      <c r="I53" s="530">
        <v>0.12980439066085847</v>
      </c>
      <c r="J53" s="13"/>
      <c r="K53" s="530">
        <v>0.16555385173491011</v>
      </c>
      <c r="L53" s="411"/>
      <c r="M53" s="411"/>
      <c r="N53" s="247"/>
      <c r="O53" s="530">
        <v>-0.46779220178406061</v>
      </c>
      <c r="P53" s="411"/>
      <c r="Q53" s="530">
        <v>6.3683834000668016E-2</v>
      </c>
      <c r="R53" s="13"/>
      <c r="S53" s="530">
        <v>0.10601820514328722</v>
      </c>
      <c r="T53" s="344"/>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7"/>
      <c r="DF53" s="247"/>
      <c r="DG53" s="247"/>
      <c r="DH53" s="247"/>
      <c r="DI53" s="247"/>
      <c r="DJ53" s="247"/>
      <c r="DK53" s="247"/>
      <c r="DL53" s="247"/>
      <c r="DM53" s="247"/>
      <c r="DN53" s="247"/>
      <c r="DO53" s="247"/>
      <c r="DP53" s="247"/>
      <c r="DQ53" s="247"/>
      <c r="DR53" s="247"/>
      <c r="DS53" s="247"/>
      <c r="DT53" s="247"/>
      <c r="DU53" s="247"/>
      <c r="DV53" s="247"/>
      <c r="DW53" s="247"/>
      <c r="DX53" s="247"/>
      <c r="DY53" s="247"/>
      <c r="DZ53" s="247"/>
      <c r="EA53" s="247"/>
      <c r="EB53" s="247"/>
      <c r="EC53" s="247"/>
      <c r="ED53" s="247"/>
      <c r="EE53" s="247"/>
      <c r="EF53" s="247"/>
      <c r="EG53" s="247"/>
      <c r="EH53" s="247"/>
      <c r="EI53" s="247"/>
      <c r="EJ53" s="247"/>
      <c r="EK53" s="247"/>
      <c r="EL53" s="247"/>
      <c r="EM53" s="247"/>
      <c r="EN53" s="247"/>
      <c r="EO53" s="247"/>
      <c r="EP53" s="247"/>
      <c r="EQ53" s="247"/>
      <c r="ER53" s="247"/>
      <c r="ES53" s="247"/>
      <c r="ET53" s="247"/>
      <c r="EU53" s="247"/>
      <c r="EV53" s="247"/>
      <c r="EW53" s="247"/>
      <c r="EX53" s="247"/>
      <c r="EY53" s="247"/>
      <c r="EZ53" s="247"/>
      <c r="FA53" s="247"/>
      <c r="FB53" s="247"/>
      <c r="FC53" s="247"/>
      <c r="FD53" s="247"/>
      <c r="FE53" s="247"/>
      <c r="FF53" s="247"/>
      <c r="FG53" s="247"/>
      <c r="FH53" s="247"/>
      <c r="FI53" s="247"/>
      <c r="FJ53" s="247"/>
      <c r="FK53" s="247"/>
      <c r="FL53" s="247"/>
      <c r="FM53" s="247"/>
      <c r="FN53" s="247"/>
      <c r="FO53" s="247"/>
      <c r="FP53" s="247"/>
      <c r="FQ53" s="247"/>
      <c r="FR53" s="247"/>
      <c r="FS53" s="247"/>
      <c r="FT53" s="247"/>
      <c r="FU53" s="247"/>
      <c r="FV53" s="247"/>
      <c r="FW53" s="247"/>
      <c r="FX53" s="247"/>
      <c r="FY53" s="247"/>
      <c r="FZ53" s="247"/>
      <c r="GA53" s="247"/>
      <c r="GB53" s="247"/>
      <c r="GC53" s="247"/>
      <c r="GD53" s="247"/>
      <c r="GE53" s="247"/>
      <c r="GF53" s="247"/>
      <c r="GG53" s="247"/>
      <c r="GH53" s="247"/>
      <c r="GI53" s="247"/>
      <c r="GJ53" s="247"/>
      <c r="GK53" s="247"/>
      <c r="GL53" s="247"/>
      <c r="GM53" s="247"/>
      <c r="GN53" s="247"/>
      <c r="GO53" s="247"/>
      <c r="GP53" s="247"/>
      <c r="GQ53" s="247"/>
    </row>
    <row r="54" spans="1:199" s="237" customFormat="1" ht="10.5" thickTop="1">
      <c r="D54" s="238"/>
      <c r="E54" s="245"/>
      <c r="F54" s="245"/>
      <c r="G54" s="245"/>
      <c r="H54" s="267"/>
      <c r="I54" s="247"/>
      <c r="J54" s="247"/>
      <c r="K54" s="247"/>
      <c r="L54" s="344"/>
      <c r="M54" s="344"/>
      <c r="N54" s="247"/>
      <c r="O54" s="344"/>
      <c r="P54" s="344"/>
      <c r="Q54" s="344"/>
      <c r="R54" s="344"/>
      <c r="S54" s="344"/>
      <c r="T54" s="344"/>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c r="EJ54" s="247"/>
      <c r="EK54" s="247"/>
      <c r="EL54" s="247"/>
      <c r="EM54" s="247"/>
      <c r="EN54" s="247"/>
      <c r="EO54" s="247"/>
      <c r="EP54" s="247"/>
      <c r="EQ54" s="247"/>
      <c r="ER54" s="247"/>
      <c r="ES54" s="247"/>
      <c r="ET54" s="247"/>
      <c r="EU54" s="247"/>
      <c r="EV54" s="247"/>
      <c r="EW54" s="247"/>
      <c r="EX54" s="247"/>
      <c r="EY54" s="247"/>
      <c r="EZ54" s="247"/>
      <c r="FA54" s="247"/>
      <c r="FB54" s="247"/>
      <c r="FC54" s="247"/>
      <c r="FD54" s="247"/>
      <c r="FE54" s="247"/>
      <c r="FF54" s="247"/>
      <c r="FG54" s="247"/>
      <c r="FH54" s="247"/>
      <c r="FI54" s="247"/>
      <c r="FJ54" s="247"/>
      <c r="FK54" s="247"/>
      <c r="FL54" s="247"/>
      <c r="FM54" s="247"/>
      <c r="FN54" s="247"/>
      <c r="FO54" s="247"/>
      <c r="FP54" s="247"/>
      <c r="FQ54" s="247"/>
      <c r="FR54" s="247"/>
      <c r="FS54" s="247"/>
      <c r="FT54" s="247"/>
      <c r="FU54" s="247"/>
      <c r="FV54" s="247"/>
      <c r="FW54" s="247"/>
      <c r="FX54" s="247"/>
      <c r="FY54" s="247"/>
      <c r="FZ54" s="247"/>
      <c r="GA54" s="247"/>
      <c r="GB54" s="247"/>
      <c r="GC54" s="247"/>
      <c r="GD54" s="247"/>
      <c r="GE54" s="247"/>
      <c r="GF54" s="247"/>
      <c r="GG54" s="247"/>
      <c r="GH54" s="247"/>
      <c r="GI54" s="247"/>
      <c r="GJ54" s="247"/>
      <c r="GK54" s="247"/>
      <c r="GL54" s="247"/>
      <c r="GM54" s="247"/>
      <c r="GN54" s="247"/>
      <c r="GO54" s="247"/>
      <c r="GP54" s="247"/>
      <c r="GQ54" s="247"/>
    </row>
    <row r="55" spans="1:199" s="237" customFormat="1" ht="9.9499999999999993" customHeight="1">
      <c r="A55" s="237" t="s">
        <v>555</v>
      </c>
      <c r="D55" s="238"/>
      <c r="E55" s="245"/>
      <c r="F55" s="245"/>
      <c r="G55" s="245"/>
      <c r="H55" s="267"/>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344"/>
      <c r="DM55" s="344"/>
      <c r="DN55" s="344"/>
      <c r="DO55" s="344"/>
      <c r="DP55" s="344"/>
      <c r="DQ55" s="344"/>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4"/>
      <c r="FM55" s="344"/>
      <c r="FN55" s="344"/>
      <c r="FO55" s="344"/>
      <c r="FP55" s="344"/>
      <c r="FQ55" s="344"/>
      <c r="FR55" s="344"/>
      <c r="FS55" s="344"/>
      <c r="FT55" s="344"/>
      <c r="FU55" s="344"/>
      <c r="FV55" s="344"/>
      <c r="FW55" s="344"/>
      <c r="FX55" s="344"/>
      <c r="FY55" s="344"/>
      <c r="FZ55" s="344"/>
      <c r="GA55" s="344"/>
      <c r="GB55" s="344"/>
      <c r="GC55" s="344"/>
      <c r="GD55" s="344"/>
      <c r="GE55" s="344"/>
      <c r="GF55" s="344"/>
      <c r="GG55" s="344"/>
      <c r="GH55" s="344"/>
      <c r="GI55" s="344"/>
      <c r="GJ55" s="344"/>
      <c r="GK55" s="344"/>
      <c r="GL55" s="344"/>
      <c r="GM55" s="344"/>
      <c r="GN55" s="344"/>
      <c r="GO55" s="344"/>
      <c r="GP55" s="344"/>
      <c r="GQ55" s="344"/>
    </row>
    <row r="56" spans="1:199" s="237" customFormat="1" ht="9.9499999999999993" customHeight="1">
      <c r="D56" s="238"/>
      <c r="E56" s="245"/>
      <c r="F56" s="245"/>
      <c r="G56" s="245"/>
      <c r="H56" s="267"/>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CZ56" s="344"/>
      <c r="DA56" s="344"/>
      <c r="DB56" s="344"/>
      <c r="DC56" s="344"/>
      <c r="DD56" s="344"/>
      <c r="DE56" s="344"/>
      <c r="DF56" s="344"/>
      <c r="DG56" s="344"/>
      <c r="DH56" s="344"/>
      <c r="DI56" s="344"/>
      <c r="DJ56" s="344"/>
      <c r="DK56" s="344"/>
      <c r="DL56" s="344"/>
      <c r="DM56" s="344"/>
      <c r="DN56" s="344"/>
      <c r="DO56" s="344"/>
      <c r="DP56" s="344"/>
      <c r="DQ56" s="344"/>
      <c r="DR56" s="344"/>
      <c r="DS56" s="344"/>
      <c r="DT56" s="344"/>
      <c r="DU56" s="344"/>
      <c r="DV56" s="344"/>
      <c r="DW56" s="344"/>
      <c r="DX56" s="344"/>
      <c r="DY56" s="344"/>
      <c r="DZ56" s="344"/>
      <c r="EA56" s="344"/>
      <c r="EB56" s="344"/>
      <c r="EC56" s="344"/>
      <c r="ED56" s="344"/>
      <c r="EE56" s="344"/>
      <c r="EF56" s="344"/>
      <c r="EG56" s="344"/>
      <c r="EH56" s="344"/>
      <c r="EI56" s="344"/>
      <c r="EJ56" s="344"/>
      <c r="EK56" s="344"/>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344"/>
      <c r="FK56" s="344"/>
      <c r="FL56" s="344"/>
      <c r="FM56" s="344"/>
      <c r="FN56" s="344"/>
      <c r="FO56" s="344"/>
      <c r="FP56" s="344"/>
      <c r="FQ56" s="344"/>
      <c r="FR56" s="344"/>
      <c r="FS56" s="344"/>
      <c r="FT56" s="344"/>
      <c r="FU56" s="344"/>
      <c r="FV56" s="344"/>
      <c r="FW56" s="344"/>
      <c r="FX56" s="344"/>
      <c r="FY56" s="344"/>
      <c r="FZ56" s="344"/>
      <c r="GA56" s="344"/>
      <c r="GB56" s="344"/>
      <c r="GC56" s="344"/>
      <c r="GD56" s="344"/>
      <c r="GE56" s="344"/>
      <c r="GF56" s="344"/>
      <c r="GG56" s="344"/>
      <c r="GH56" s="344"/>
      <c r="GI56" s="344"/>
      <c r="GJ56" s="344"/>
      <c r="GK56" s="344"/>
      <c r="GL56" s="344"/>
      <c r="GM56" s="344"/>
      <c r="GN56" s="344"/>
      <c r="GO56" s="344"/>
      <c r="GP56" s="344"/>
      <c r="GQ56" s="344"/>
    </row>
    <row r="57" spans="1:199" s="237" customFormat="1">
      <c r="A57" s="756" t="s">
        <v>364</v>
      </c>
      <c r="B57" s="756"/>
      <c r="C57" s="756"/>
      <c r="D57" s="756"/>
      <c r="E57" s="756"/>
      <c r="F57" s="756"/>
      <c r="G57" s="756"/>
      <c r="H57" s="756"/>
      <c r="I57" s="756"/>
      <c r="J57" s="756"/>
      <c r="K57" s="756"/>
      <c r="L57" s="756"/>
      <c r="M57" s="756"/>
      <c r="N57" s="756"/>
      <c r="O57" s="756"/>
      <c r="P57" s="756"/>
      <c r="Q57" s="756"/>
      <c r="R57" s="756"/>
      <c r="S57" s="756"/>
      <c r="T57" s="756"/>
      <c r="U57" s="756"/>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c r="CO57" s="247"/>
      <c r="CP57" s="247"/>
      <c r="CQ57" s="247"/>
      <c r="CR57" s="247"/>
      <c r="CS57" s="247"/>
      <c r="CT57" s="247"/>
      <c r="CU57" s="247"/>
      <c r="CV57" s="247"/>
      <c r="CW57" s="247"/>
      <c r="CX57" s="247"/>
      <c r="CY57" s="247"/>
      <c r="CZ57" s="247"/>
      <c r="DA57" s="247"/>
      <c r="DB57" s="247"/>
      <c r="DC57" s="247"/>
      <c r="DD57" s="247"/>
      <c r="DE57" s="247"/>
      <c r="DF57" s="247"/>
      <c r="DG57" s="247"/>
      <c r="DH57" s="247"/>
      <c r="DI57" s="247"/>
      <c r="DJ57" s="247"/>
      <c r="DK57" s="247"/>
      <c r="DL57" s="247"/>
      <c r="DM57" s="247"/>
      <c r="DN57" s="247"/>
      <c r="DO57" s="247"/>
      <c r="DP57" s="247"/>
      <c r="DQ57" s="247"/>
      <c r="DR57" s="247"/>
      <c r="DS57" s="247"/>
      <c r="DT57" s="247"/>
      <c r="DU57" s="247"/>
      <c r="DV57" s="247"/>
      <c r="DW57" s="247"/>
      <c r="DX57" s="247"/>
      <c r="DY57" s="247"/>
      <c r="DZ57" s="247"/>
      <c r="EA57" s="247"/>
      <c r="EB57" s="247"/>
      <c r="EC57" s="247"/>
      <c r="ED57" s="247"/>
      <c r="EE57" s="247"/>
      <c r="EF57" s="247"/>
      <c r="EG57" s="247"/>
      <c r="EH57" s="247"/>
      <c r="EI57" s="247"/>
      <c r="EJ57" s="247"/>
      <c r="EK57" s="247"/>
      <c r="EL57" s="247"/>
      <c r="EM57" s="247"/>
      <c r="EN57" s="247"/>
      <c r="EO57" s="247"/>
      <c r="EP57" s="247"/>
      <c r="EQ57" s="247"/>
      <c r="ER57" s="247"/>
      <c r="ES57" s="247"/>
      <c r="ET57" s="247"/>
      <c r="EU57" s="247"/>
      <c r="EV57" s="247"/>
      <c r="EW57" s="247"/>
      <c r="EX57" s="247"/>
      <c r="EY57" s="247"/>
      <c r="EZ57" s="247"/>
      <c r="FA57" s="247"/>
      <c r="FB57" s="247"/>
      <c r="FC57" s="247"/>
      <c r="FD57" s="247"/>
      <c r="FE57" s="247"/>
      <c r="FF57" s="247"/>
      <c r="FG57" s="247"/>
      <c r="FH57" s="247"/>
      <c r="FI57" s="247"/>
      <c r="FJ57" s="247"/>
      <c r="FK57" s="247"/>
      <c r="FL57" s="247"/>
      <c r="FM57" s="247"/>
      <c r="FN57" s="247"/>
      <c r="FO57" s="247"/>
      <c r="FP57" s="247"/>
      <c r="FQ57" s="247"/>
      <c r="FR57" s="247"/>
      <c r="FS57" s="247"/>
      <c r="FT57" s="247"/>
      <c r="FU57" s="247"/>
      <c r="FV57" s="247"/>
      <c r="FW57" s="247"/>
      <c r="FX57" s="247"/>
      <c r="FY57" s="247"/>
      <c r="FZ57" s="247"/>
      <c r="GA57" s="247"/>
      <c r="GB57" s="247"/>
      <c r="GC57" s="247"/>
      <c r="GD57" s="247"/>
      <c r="GE57" s="247"/>
      <c r="GF57" s="247"/>
      <c r="GG57" s="247"/>
      <c r="GH57" s="247"/>
      <c r="GI57" s="247"/>
      <c r="GJ57" s="247"/>
      <c r="GK57" s="247"/>
      <c r="GL57" s="247"/>
      <c r="GM57" s="247"/>
      <c r="GN57" s="247"/>
      <c r="GO57" s="247"/>
      <c r="GP57" s="247"/>
      <c r="GQ57" s="247"/>
    </row>
    <row r="58" spans="1:199" s="29" customFormat="1">
      <c r="A58" s="756" t="s">
        <v>365</v>
      </c>
      <c r="B58" s="756"/>
      <c r="C58" s="756"/>
      <c r="D58" s="756"/>
      <c r="E58" s="756"/>
      <c r="F58" s="756"/>
      <c r="G58" s="756"/>
      <c r="H58" s="756"/>
      <c r="I58" s="756"/>
      <c r="J58" s="756"/>
      <c r="K58" s="756"/>
      <c r="L58" s="756"/>
      <c r="M58" s="756"/>
      <c r="N58" s="756"/>
      <c r="O58" s="756"/>
      <c r="P58" s="756"/>
      <c r="Q58" s="756"/>
      <c r="R58" s="756"/>
      <c r="S58" s="756"/>
      <c r="T58" s="756"/>
      <c r="U58" s="756"/>
    </row>
    <row r="59" spans="1:199" s="29" customFormat="1">
      <c r="A59" s="26"/>
      <c r="B59" s="26"/>
      <c r="C59" s="26"/>
      <c r="D59" s="3"/>
      <c r="E59" s="3"/>
      <c r="F59" s="3"/>
      <c r="G59" s="3"/>
      <c r="H59" s="3"/>
      <c r="I59" s="3"/>
      <c r="J59" s="3"/>
      <c r="K59" s="5"/>
      <c r="L59" s="5"/>
      <c r="M59" s="5"/>
    </row>
    <row r="60" spans="1:199" s="4" customFormat="1">
      <c r="D60" s="413"/>
      <c r="E60" s="413"/>
      <c r="F60" s="413"/>
      <c r="G60" s="413"/>
      <c r="H60" s="413"/>
      <c r="I60" s="413"/>
      <c r="J60" s="413"/>
      <c r="K60" s="14"/>
      <c r="L60" s="14"/>
      <c r="M60" s="14"/>
    </row>
    <row r="61" spans="1:199">
      <c r="A61" s="4"/>
      <c r="B61" s="4"/>
      <c r="C61" s="4"/>
      <c r="D61" s="4"/>
      <c r="E61" s="4"/>
      <c r="F61" s="4"/>
      <c r="G61" s="4"/>
      <c r="H61" s="4"/>
      <c r="I61" s="4"/>
      <c r="J61" s="4"/>
      <c r="K61" s="4"/>
    </row>
    <row r="62" spans="1:199">
      <c r="A62" s="756" t="s">
        <v>366</v>
      </c>
      <c r="B62" s="756"/>
      <c r="C62" s="756"/>
      <c r="D62" s="756"/>
      <c r="E62" s="756"/>
      <c r="F62" s="756"/>
      <c r="G62" s="756"/>
      <c r="H62" s="756"/>
      <c r="I62" s="756"/>
      <c r="J62" s="756"/>
      <c r="K62" s="756"/>
      <c r="L62" s="756"/>
      <c r="M62" s="756"/>
      <c r="N62" s="756"/>
      <c r="O62" s="756"/>
      <c r="P62" s="756"/>
      <c r="Q62" s="756"/>
      <c r="R62" s="756"/>
      <c r="S62" s="756"/>
      <c r="T62" s="756"/>
      <c r="U62" s="756"/>
    </row>
    <row r="63" spans="1:199">
      <c r="A63" s="4"/>
      <c r="B63" s="4"/>
      <c r="C63" s="4"/>
      <c r="D63" s="4"/>
      <c r="E63" s="5"/>
      <c r="F63" s="6"/>
      <c r="G63" s="4"/>
      <c r="H63" s="6"/>
      <c r="I63" s="4"/>
      <c r="J63" s="6"/>
      <c r="K63" s="4"/>
    </row>
    <row r="64" spans="1:199">
      <c r="G64" s="38">
        <v>-4294.5600000000004</v>
      </c>
      <c r="I64" s="38">
        <v>1013.8779999999999</v>
      </c>
      <c r="K64" s="38">
        <v>1346.018</v>
      </c>
    </row>
    <row r="65" spans="7:11">
      <c r="G65" s="38">
        <v>-8.5891200000000012</v>
      </c>
      <c r="I65" s="38">
        <v>2.0277560000000001</v>
      </c>
      <c r="K65" s="38">
        <v>2.6920360000000003</v>
      </c>
    </row>
  </sheetData>
  <customSheetViews>
    <customSheetView guid="{84FBBE83-FF6F-4C76-A58E-D04643F715A5}" showPageBreaks="1" printArea="1" hiddenRows="1" view="pageBreakPreview" topLeftCell="A10">
      <selection activeCell="K26" sqref="K26"/>
      <pageMargins left="0.75" right="0.5" top="0.5" bottom="0.25" header="0.5" footer="0.5"/>
      <printOptions horizontalCentered="1"/>
      <pageSetup paperSize="9" fitToWidth="12" fitToHeight="12" orientation="portrait" r:id="rId1"/>
      <headerFooter alignWithMargins="0">
        <oddFooter>&amp;C2 of 11</oddFooter>
      </headerFooter>
    </customSheetView>
  </customSheetViews>
  <mergeCells count="8">
    <mergeCell ref="A62:U62"/>
    <mergeCell ref="O4:U4"/>
    <mergeCell ref="E7:U7"/>
    <mergeCell ref="G51:K51"/>
    <mergeCell ref="G4:M4"/>
    <mergeCell ref="O51:S51"/>
    <mergeCell ref="A57:U57"/>
    <mergeCell ref="A58:U58"/>
  </mergeCells>
  <phoneticPr fontId="6" type="noConversion"/>
  <printOptions horizontalCentered="1"/>
  <pageMargins left="0.75" right="0.5" top="0.5" bottom="0.25" header="0.5" footer="0.5"/>
  <pageSetup paperSize="9" scale="89" fitToWidth="12" fitToHeight="12" orientation="landscape" r:id="rId2"/>
  <headerFooter alignWithMargins="0">
    <oddFooter>&amp;C2 of 9</oddFooter>
  </headerFooter>
</worksheet>
</file>

<file path=xl/worksheets/sheet6.xml><?xml version="1.0" encoding="utf-8"?>
<worksheet xmlns="http://schemas.openxmlformats.org/spreadsheetml/2006/main" xmlns:r="http://schemas.openxmlformats.org/officeDocument/2006/relationships">
  <sheetPr codeName="Sheet20" enableFormatConditionsCalculation="0">
    <tabColor indexed="21"/>
  </sheetPr>
  <dimension ref="A1:J55"/>
  <sheetViews>
    <sheetView view="pageBreakPreview" topLeftCell="A13" zoomScale="110" zoomScaleSheetLayoutView="110" workbookViewId="0">
      <selection activeCell="G11" sqref="G11"/>
    </sheetView>
  </sheetViews>
  <sheetFormatPr defaultRowHeight="12"/>
  <cols>
    <col min="1" max="4" width="9" style="171"/>
    <col min="5" max="5" width="18.125" style="171" customWidth="1"/>
    <col min="6" max="6" width="15" style="171" customWidth="1"/>
    <col min="7" max="7" width="14.625" style="171" customWidth="1"/>
    <col min="8" max="8" width="13.5" style="171" customWidth="1"/>
    <col min="9" max="9" width="9.125" style="171" bestFit="1" customWidth="1"/>
    <col min="10" max="16384" width="9" style="171"/>
  </cols>
  <sheetData>
    <row r="1" spans="1:8" s="79" customFormat="1">
      <c r="A1" s="2" t="str">
        <f>[46]BS!$A$1</f>
        <v>NATIONAL INVESTMENT (UNIT) TRUST</v>
      </c>
      <c r="B1" s="85"/>
      <c r="C1" s="85"/>
      <c r="D1" s="85"/>
      <c r="E1" s="85"/>
      <c r="F1" s="86"/>
      <c r="G1" s="86"/>
      <c r="H1" s="347" t="s">
        <v>205</v>
      </c>
    </row>
    <row r="2" spans="1:8" s="79" customFormat="1">
      <c r="A2" s="87" t="s">
        <v>132</v>
      </c>
      <c r="B2" s="87"/>
      <c r="C2" s="87"/>
      <c r="D2" s="85"/>
      <c r="E2" s="85"/>
      <c r="F2" s="86"/>
      <c r="G2" s="86"/>
      <c r="H2" s="86"/>
    </row>
    <row r="3" spans="1:8" s="78" customFormat="1">
      <c r="A3" s="87" t="s">
        <v>164</v>
      </c>
      <c r="B3" s="87"/>
      <c r="C3" s="87"/>
      <c r="D3" s="85"/>
      <c r="E3" s="85"/>
      <c r="F3" s="88"/>
      <c r="G3" s="88"/>
      <c r="H3" s="88"/>
    </row>
    <row r="4" spans="1:8">
      <c r="A4" s="336" t="s">
        <v>193</v>
      </c>
      <c r="F4" s="171" t="s">
        <v>202</v>
      </c>
      <c r="G4" s="171" t="s">
        <v>203</v>
      </c>
    </row>
    <row r="5" spans="1:8" ht="55.5" customHeight="1">
      <c r="F5" s="233" t="s">
        <v>219</v>
      </c>
      <c r="G5" s="233" t="s">
        <v>220</v>
      </c>
      <c r="H5" s="233" t="s">
        <v>35</v>
      </c>
    </row>
    <row r="6" spans="1:8">
      <c r="F6" s="334" t="s">
        <v>178</v>
      </c>
      <c r="G6" s="334" t="s">
        <v>179</v>
      </c>
      <c r="H6" s="334" t="s">
        <v>180</v>
      </c>
    </row>
    <row r="7" spans="1:8" ht="10.5" customHeight="1">
      <c r="F7" s="763" t="s">
        <v>187</v>
      </c>
      <c r="G7" s="764"/>
      <c r="H7" s="764"/>
    </row>
    <row r="8" spans="1:8" ht="12.75">
      <c r="A8" s="299" t="s">
        <v>172</v>
      </c>
    </row>
    <row r="9" spans="1:8">
      <c r="A9" s="54" t="s">
        <v>60</v>
      </c>
      <c r="B9" s="54"/>
      <c r="C9" s="54"/>
      <c r="D9" s="25"/>
      <c r="E9" s="173"/>
      <c r="F9" s="6">
        <f>'P&amp;L'!E11</f>
        <v>4055.2739999999999</v>
      </c>
      <c r="G9" s="6">
        <v>1119324</v>
      </c>
      <c r="H9" s="6">
        <f t="shared" ref="H9:H14" si="0">F9-G9</f>
        <v>-1115268.726</v>
      </c>
    </row>
    <row r="10" spans="1:8">
      <c r="A10" s="54" t="s">
        <v>154</v>
      </c>
      <c r="B10" s="54"/>
      <c r="C10" s="54"/>
      <c r="D10" s="25"/>
      <c r="E10" s="173"/>
      <c r="F10" s="6">
        <f>'P&amp;L'!E12</f>
        <v>0</v>
      </c>
      <c r="G10" s="6">
        <v>1450672</v>
      </c>
      <c r="H10" s="6">
        <f t="shared" si="0"/>
        <v>-1450672</v>
      </c>
    </row>
    <row r="11" spans="1:8">
      <c r="A11" s="54" t="s">
        <v>29</v>
      </c>
      <c r="B11" s="174"/>
      <c r="C11" s="174"/>
      <c r="D11" s="25"/>
      <c r="E11" s="173"/>
      <c r="F11" s="6">
        <f>'P&amp;L'!E13</f>
        <v>0</v>
      </c>
      <c r="G11" s="6">
        <v>8005</v>
      </c>
      <c r="H11" s="6">
        <f t="shared" si="0"/>
        <v>-8005</v>
      </c>
    </row>
    <row r="12" spans="1:8">
      <c r="A12" s="54" t="s">
        <v>135</v>
      </c>
      <c r="B12" s="54"/>
      <c r="C12" s="54"/>
      <c r="D12" s="25"/>
      <c r="E12" s="35"/>
      <c r="F12" s="6">
        <f>'P&amp;L'!E14</f>
        <v>5786.7510000000002</v>
      </c>
      <c r="G12" s="6">
        <v>34887</v>
      </c>
      <c r="H12" s="6">
        <f t="shared" si="0"/>
        <v>-29100.249</v>
      </c>
    </row>
    <row r="13" spans="1:8">
      <c r="A13" s="54" t="s">
        <v>78</v>
      </c>
      <c r="B13" s="54"/>
      <c r="C13" s="54"/>
      <c r="D13" s="25"/>
      <c r="E13" s="35"/>
      <c r="F13" s="6">
        <f>'P&amp;L'!E15</f>
        <v>0</v>
      </c>
      <c r="G13" s="6">
        <v>9216</v>
      </c>
      <c r="H13" s="6">
        <f t="shared" si="0"/>
        <v>-9216</v>
      </c>
    </row>
    <row r="14" spans="1:8">
      <c r="A14" s="54" t="s">
        <v>136</v>
      </c>
      <c r="B14" s="54"/>
      <c r="C14" s="54"/>
      <c r="D14" s="25"/>
      <c r="E14" s="16"/>
      <c r="F14" s="6">
        <v>0</v>
      </c>
      <c r="G14" s="6">
        <v>0</v>
      </c>
      <c r="H14" s="6">
        <f t="shared" si="0"/>
        <v>0</v>
      </c>
    </row>
    <row r="15" spans="1:8">
      <c r="A15" s="54"/>
      <c r="B15" s="54"/>
      <c r="C15" s="54"/>
      <c r="D15" s="25"/>
      <c r="E15" s="16"/>
      <c r="F15" s="95">
        <f>SUM(F9:F14)</f>
        <v>9842.0249999999996</v>
      </c>
      <c r="G15" s="95">
        <f>SUM(G9:G14)</f>
        <v>2622104</v>
      </c>
      <c r="H15" s="95">
        <f>SUM(H9:H14)</f>
        <v>-2612261.9749999996</v>
      </c>
    </row>
    <row r="16" spans="1:8">
      <c r="A16" s="54"/>
      <c r="B16" s="54"/>
      <c r="C16" s="54"/>
      <c r="D16" s="25"/>
      <c r="E16" s="16"/>
      <c r="F16" s="13"/>
      <c r="G16" s="13"/>
      <c r="H16" s="13"/>
    </row>
    <row r="17" spans="1:10">
      <c r="A17" s="54" t="s">
        <v>207</v>
      </c>
      <c r="B17" s="54"/>
      <c r="C17" s="54"/>
      <c r="D17" s="25"/>
      <c r="E17" s="35"/>
      <c r="F17" s="6"/>
      <c r="G17" s="6"/>
      <c r="H17" s="6"/>
    </row>
    <row r="18" spans="1:10">
      <c r="A18" s="175" t="s">
        <v>36</v>
      </c>
      <c r="B18" s="54"/>
      <c r="C18" s="54"/>
      <c r="D18" s="25"/>
      <c r="E18" s="173"/>
      <c r="F18" s="13">
        <f>'P&amp;L'!E21</f>
        <v>0</v>
      </c>
      <c r="G18" s="13">
        <v>777634</v>
      </c>
      <c r="H18" s="13">
        <f>F18-G18</f>
        <v>-777634</v>
      </c>
    </row>
    <row r="19" spans="1:10">
      <c r="A19" s="174" t="s">
        <v>73</v>
      </c>
      <c r="B19" s="54"/>
      <c r="C19" s="54"/>
      <c r="D19" s="25"/>
      <c r="E19" s="173"/>
      <c r="F19" s="13">
        <v>0</v>
      </c>
      <c r="G19" s="13">
        <v>0</v>
      </c>
      <c r="H19" s="13">
        <f>F19-G19</f>
        <v>0</v>
      </c>
    </row>
    <row r="20" spans="1:10">
      <c r="A20" s="94"/>
      <c r="B20" s="176"/>
      <c r="C20" s="176"/>
      <c r="D20" s="25"/>
      <c r="E20" s="16"/>
      <c r="F20" s="95">
        <f>F18+F19</f>
        <v>0</v>
      </c>
      <c r="G20" s="95">
        <f>G18+G19</f>
        <v>777634</v>
      </c>
      <c r="H20" s="95">
        <f>H18+H19</f>
        <v>-777634</v>
      </c>
    </row>
    <row r="21" spans="1:10">
      <c r="A21" s="94"/>
      <c r="B21" s="176"/>
      <c r="C21" s="176"/>
      <c r="D21" s="25"/>
      <c r="E21" s="16"/>
      <c r="F21" s="13"/>
      <c r="G21" s="13"/>
      <c r="H21" s="13"/>
    </row>
    <row r="22" spans="1:10">
      <c r="A22" s="94" t="s">
        <v>62</v>
      </c>
      <c r="B22" s="176"/>
      <c r="C22" s="176"/>
      <c r="D22" s="25"/>
      <c r="E22" s="16"/>
      <c r="F22" s="13">
        <f>F15+F20</f>
        <v>9842.0249999999996</v>
      </c>
      <c r="G22" s="13">
        <f>G15+G20</f>
        <v>3399738</v>
      </c>
      <c r="H22" s="13">
        <f>H15+H20</f>
        <v>-3389895.9749999996</v>
      </c>
    </row>
    <row r="23" spans="1:10">
      <c r="A23" s="94"/>
      <c r="B23" s="176"/>
      <c r="C23" s="176"/>
      <c r="D23" s="25"/>
      <c r="E23" s="16"/>
      <c r="F23" s="13"/>
      <c r="G23" s="13"/>
      <c r="H23" s="13"/>
    </row>
    <row r="24" spans="1:10">
      <c r="A24" s="177" t="s">
        <v>81</v>
      </c>
      <c r="B24" s="177"/>
      <c r="C24" s="177"/>
      <c r="D24" s="25"/>
      <c r="E24" s="173"/>
      <c r="F24" s="6"/>
      <c r="G24" s="6"/>
      <c r="H24" s="6"/>
    </row>
    <row r="25" spans="1:10">
      <c r="A25" s="54" t="s">
        <v>30</v>
      </c>
      <c r="B25" s="177"/>
      <c r="C25" s="177"/>
      <c r="D25" s="25"/>
      <c r="E25" s="173"/>
      <c r="F25" s="12">
        <f>ROUND('P&amp;L'!E24,0)</f>
        <v>7074</v>
      </c>
      <c r="G25" s="12">
        <v>16668</v>
      </c>
      <c r="H25" s="12">
        <f t="shared" ref="H25:H37" si="1">F25-G25</f>
        <v>-9594</v>
      </c>
    </row>
    <row r="26" spans="1:10">
      <c r="A26" s="54" t="s">
        <v>79</v>
      </c>
      <c r="B26" s="54"/>
      <c r="C26" s="54"/>
      <c r="D26" s="25"/>
      <c r="E26" s="178"/>
      <c r="F26" s="15">
        <f>'P&amp;L'!E25</f>
        <v>2971.2090000000003</v>
      </c>
      <c r="G26" s="15">
        <v>243213</v>
      </c>
      <c r="H26" s="15">
        <f t="shared" si="1"/>
        <v>-240241.791</v>
      </c>
      <c r="J26" s="171">
        <f>102649/116*100</f>
        <v>88490.517241379319</v>
      </c>
    </row>
    <row r="27" spans="1:10">
      <c r="A27" s="54" t="s">
        <v>197</v>
      </c>
      <c r="B27" s="54"/>
      <c r="C27" s="54"/>
      <c r="D27" s="25"/>
      <c r="E27" s="178"/>
      <c r="F27" s="15">
        <f>'P&amp;L'!E26</f>
        <v>482.53399999999999</v>
      </c>
      <c r="G27" s="15">
        <v>45801</v>
      </c>
      <c r="H27" s="15">
        <f t="shared" si="1"/>
        <v>-45318.466</v>
      </c>
      <c r="J27" s="171">
        <f>ROUND(J26,0)</f>
        <v>88491</v>
      </c>
    </row>
    <row r="28" spans="1:10">
      <c r="A28" s="54" t="s">
        <v>221</v>
      </c>
      <c r="B28" s="54"/>
      <c r="C28" s="54"/>
      <c r="D28" s="25"/>
      <c r="E28" s="178"/>
      <c r="F28" s="15">
        <f>'P&amp;L'!E27</f>
        <v>474.83299999999997</v>
      </c>
      <c r="G28" s="15">
        <v>43046</v>
      </c>
      <c r="H28" s="15">
        <f t="shared" si="1"/>
        <v>-42571.167000000001</v>
      </c>
    </row>
    <row r="29" spans="1:10">
      <c r="A29" s="54" t="s">
        <v>156</v>
      </c>
      <c r="B29" s="54"/>
      <c r="C29" s="54"/>
      <c r="D29" s="25"/>
      <c r="E29" s="173"/>
      <c r="F29" s="15">
        <f>'P&amp;L'!E30</f>
        <v>65.180000000000007</v>
      </c>
      <c r="G29" s="15">
        <v>23313</v>
      </c>
      <c r="H29" s="15">
        <f t="shared" si="1"/>
        <v>-23247.82</v>
      </c>
      <c r="J29" s="171">
        <f>J27*16%</f>
        <v>14158.56</v>
      </c>
    </row>
    <row r="30" spans="1:10">
      <c r="A30" s="54" t="s">
        <v>148</v>
      </c>
      <c r="B30" s="54"/>
      <c r="C30" s="54"/>
      <c r="D30" s="25"/>
      <c r="E30" s="173"/>
      <c r="F30" s="15">
        <f>'P&amp;L'!E36</f>
        <v>15.166999999999998</v>
      </c>
      <c r="G30" s="15">
        <v>2399</v>
      </c>
      <c r="H30" s="15">
        <f t="shared" si="1"/>
        <v>-2383.8330000000001</v>
      </c>
      <c r="J30" s="171">
        <f>ROUND(J29,0)</f>
        <v>14159</v>
      </c>
    </row>
    <row r="31" spans="1:10">
      <c r="A31" s="54" t="s">
        <v>145</v>
      </c>
      <c r="B31" s="54"/>
      <c r="C31" s="54"/>
      <c r="D31" s="25"/>
      <c r="E31" s="173"/>
      <c r="F31" s="15">
        <f>'P&amp;L'!E37</f>
        <v>0</v>
      </c>
      <c r="G31" s="15">
        <v>0</v>
      </c>
      <c r="H31" s="15">
        <f t="shared" si="1"/>
        <v>0</v>
      </c>
    </row>
    <row r="32" spans="1:10">
      <c r="A32" s="54" t="s">
        <v>155</v>
      </c>
      <c r="B32" s="34"/>
      <c r="C32" s="34"/>
      <c r="D32" s="25"/>
      <c r="E32" s="179"/>
      <c r="F32" s="15">
        <f>'P&amp;L'!E35</f>
        <v>48.847999999999999</v>
      </c>
      <c r="G32" s="15">
        <v>772</v>
      </c>
      <c r="H32" s="15">
        <f t="shared" si="1"/>
        <v>-723.15200000000004</v>
      </c>
      <c r="J32" s="171">
        <f>J27+J30</f>
        <v>102650</v>
      </c>
    </row>
    <row r="33" spans="1:10">
      <c r="A33" s="54" t="s">
        <v>80</v>
      </c>
      <c r="B33" s="34"/>
      <c r="C33" s="34"/>
      <c r="D33" s="25"/>
      <c r="E33" s="179"/>
      <c r="F33" s="15">
        <f>'P&amp;L'!E34</f>
        <v>61.875</v>
      </c>
      <c r="G33" s="15">
        <v>35711</v>
      </c>
      <c r="H33" s="15">
        <f t="shared" si="1"/>
        <v>-35649.125</v>
      </c>
    </row>
    <row r="34" spans="1:10">
      <c r="A34" s="54" t="s">
        <v>139</v>
      </c>
      <c r="B34" s="34"/>
      <c r="C34" s="34"/>
      <c r="D34" s="25"/>
      <c r="E34" s="75"/>
      <c r="F34" s="15">
        <v>0</v>
      </c>
      <c r="G34" s="15">
        <v>0</v>
      </c>
      <c r="H34" s="15">
        <f t="shared" si="1"/>
        <v>0</v>
      </c>
    </row>
    <row r="35" spans="1:10">
      <c r="A35" s="54" t="s">
        <v>105</v>
      </c>
      <c r="B35" s="34"/>
      <c r="C35" s="25"/>
      <c r="D35" s="25"/>
      <c r="E35" s="179"/>
      <c r="F35" s="15">
        <v>0</v>
      </c>
      <c r="G35" s="15">
        <v>0</v>
      </c>
      <c r="H35" s="15">
        <f t="shared" si="1"/>
        <v>0</v>
      </c>
    </row>
    <row r="36" spans="1:10">
      <c r="A36" s="25" t="s">
        <v>109</v>
      </c>
      <c r="B36" s="25"/>
      <c r="C36" s="25"/>
      <c r="D36" s="25"/>
      <c r="E36" s="173"/>
      <c r="F36" s="15">
        <f>'P&amp;L'!E39</f>
        <v>65</v>
      </c>
      <c r="G36" s="15">
        <v>500</v>
      </c>
      <c r="H36" s="15">
        <f t="shared" si="1"/>
        <v>-435</v>
      </c>
    </row>
    <row r="37" spans="1:10" s="283" customFormat="1">
      <c r="A37" s="216" t="s">
        <v>22</v>
      </c>
      <c r="B37" s="297"/>
      <c r="C37" s="297"/>
      <c r="D37" s="4"/>
      <c r="E37" s="298"/>
      <c r="F37" s="17">
        <f>'P&amp;L'!E41</f>
        <v>0</v>
      </c>
      <c r="G37" s="17">
        <v>621</v>
      </c>
      <c r="H37" s="17">
        <f t="shared" si="1"/>
        <v>-621</v>
      </c>
      <c r="I37" s="284"/>
    </row>
    <row r="38" spans="1:10">
      <c r="A38" s="9"/>
      <c r="B38" s="4"/>
      <c r="C38" s="4"/>
      <c r="D38" s="4"/>
      <c r="E38" s="294"/>
      <c r="F38" s="13">
        <f>SUM(F25:F37)</f>
        <v>11258.646000000001</v>
      </c>
      <c r="G38" s="13">
        <f>SUM(G25:G37)</f>
        <v>412044</v>
      </c>
      <c r="H38" s="13">
        <f>ROUNDUP(SUM(H25:H37),0)</f>
        <v>-400786</v>
      </c>
      <c r="I38" s="285">
        <v>569467.73615999997</v>
      </c>
      <c r="J38" s="286">
        <f>I38-H38</f>
        <v>970253.73615999997</v>
      </c>
    </row>
    <row r="39" spans="1:10">
      <c r="A39" s="25"/>
      <c r="B39" s="25"/>
      <c r="C39" s="25"/>
      <c r="D39" s="25"/>
      <c r="E39" s="173"/>
      <c r="F39" s="13"/>
      <c r="G39" s="13"/>
      <c r="H39" s="13"/>
    </row>
    <row r="40" spans="1:10">
      <c r="A40" s="177" t="s">
        <v>37</v>
      </c>
      <c r="B40" s="177"/>
      <c r="C40" s="177"/>
      <c r="D40" s="25"/>
      <c r="E40" s="173"/>
      <c r="F40" s="95">
        <f>F22-F38</f>
        <v>-1416.621000000001</v>
      </c>
      <c r="G40" s="95">
        <f>G22-G38</f>
        <v>2987694</v>
      </c>
      <c r="H40" s="95">
        <f>H22-H38</f>
        <v>-2989109.9749999996</v>
      </c>
    </row>
    <row r="41" spans="1:10">
      <c r="A41" s="177"/>
      <c r="B41" s="177"/>
      <c r="C41" s="177"/>
      <c r="D41" s="25"/>
      <c r="E41" s="173"/>
      <c r="F41" s="13"/>
      <c r="G41" s="13"/>
      <c r="H41" s="13"/>
    </row>
    <row r="42" spans="1:10">
      <c r="A42" s="54" t="s">
        <v>3</v>
      </c>
      <c r="B42" s="54"/>
      <c r="C42" s="54"/>
      <c r="D42" s="25"/>
      <c r="E42" s="16"/>
      <c r="F42" s="6"/>
      <c r="G42" s="6"/>
      <c r="H42" s="6"/>
    </row>
    <row r="43" spans="1:10">
      <c r="A43" s="54" t="s">
        <v>38</v>
      </c>
      <c r="B43" s="54"/>
      <c r="C43" s="54"/>
      <c r="D43" s="25"/>
      <c r="E43" s="16"/>
      <c r="F43" s="6" t="e">
        <f>'P&amp;L'!#REF!</f>
        <v>#REF!</v>
      </c>
      <c r="G43" s="180">
        <v>-124398</v>
      </c>
      <c r="H43" s="6" t="e">
        <f>F43-G43</f>
        <v>#REF!</v>
      </c>
      <c r="J43" s="171">
        <v>431224</v>
      </c>
    </row>
    <row r="44" spans="1:10">
      <c r="A44" s="54"/>
      <c r="B44" s="54"/>
      <c r="C44" s="54"/>
      <c r="D44" s="25"/>
      <c r="E44" s="16"/>
      <c r="F44" s="6"/>
      <c r="G44" s="180"/>
      <c r="H44" s="6"/>
    </row>
    <row r="45" spans="1:10" s="283" customFormat="1">
      <c r="A45" s="330" t="s">
        <v>110</v>
      </c>
      <c r="B45" s="330"/>
      <c r="C45" s="330"/>
      <c r="D45" s="4"/>
      <c r="E45" s="329"/>
      <c r="F45" s="6" t="e">
        <f>'P&amp;L'!#REF!</f>
        <v>#REF!</v>
      </c>
      <c r="G45" s="180">
        <v>-57280</v>
      </c>
      <c r="H45" s="6" t="e">
        <f>F45-G45</f>
        <v>#REF!</v>
      </c>
    </row>
    <row r="46" spans="1:10">
      <c r="A46" s="25"/>
      <c r="B46" s="177"/>
      <c r="C46" s="177"/>
      <c r="D46" s="25"/>
      <c r="E46" s="173"/>
      <c r="F46" s="13"/>
      <c r="G46" s="13"/>
      <c r="H46" s="13"/>
      <c r="J46" s="171">
        <v>435272</v>
      </c>
    </row>
    <row r="47" spans="1:10">
      <c r="A47" s="177" t="s">
        <v>39</v>
      </c>
      <c r="B47" s="177"/>
      <c r="C47" s="177"/>
      <c r="D47" s="25"/>
      <c r="E47" s="173"/>
      <c r="F47" s="95" t="e">
        <f>F40+F43+F45</f>
        <v>#REF!</v>
      </c>
      <c r="G47" s="95">
        <f>G40+G43+G45</f>
        <v>2806016</v>
      </c>
      <c r="H47" s="95" t="e">
        <f>H40+H43+H45</f>
        <v>#REF!</v>
      </c>
      <c r="I47" s="285">
        <v>380323.84284</v>
      </c>
      <c r="J47" s="171">
        <f>J46-J43</f>
        <v>4048</v>
      </c>
    </row>
    <row r="48" spans="1:10">
      <c r="A48" s="177"/>
      <c r="B48" s="177"/>
      <c r="C48" s="177"/>
      <c r="D48" s="25"/>
      <c r="E48" s="173"/>
      <c r="F48" s="13"/>
      <c r="G48" s="13"/>
      <c r="H48" s="13"/>
      <c r="I48" s="286" t="e">
        <f>H47-I47</f>
        <v>#REF!</v>
      </c>
    </row>
    <row r="49" spans="1:8">
      <c r="A49" s="25" t="s">
        <v>95</v>
      </c>
      <c r="B49" s="177"/>
      <c r="C49" s="177"/>
      <c r="D49" s="25"/>
      <c r="E49" s="173"/>
      <c r="F49" s="13">
        <v>0</v>
      </c>
      <c r="G49" s="13">
        <v>0</v>
      </c>
      <c r="H49" s="13"/>
    </row>
    <row r="50" spans="1:8">
      <c r="A50" s="25"/>
      <c r="B50" s="177"/>
      <c r="C50" s="177"/>
      <c r="D50" s="25"/>
      <c r="E50" s="173"/>
      <c r="F50" s="13"/>
      <c r="G50" s="13"/>
      <c r="H50" s="13"/>
    </row>
    <row r="51" spans="1:8" ht="12.75" thickBot="1">
      <c r="A51" s="177" t="s">
        <v>40</v>
      </c>
      <c r="B51" s="177"/>
      <c r="C51" s="177"/>
      <c r="D51" s="54"/>
      <c r="E51" s="181"/>
      <c r="F51" s="182" t="e">
        <f>F47-F49</f>
        <v>#REF!</v>
      </c>
      <c r="G51" s="182">
        <f>G47-G49</f>
        <v>2806016</v>
      </c>
      <c r="H51" s="182" t="e">
        <f>H47-H49</f>
        <v>#REF!</v>
      </c>
    </row>
    <row r="52" spans="1:8" ht="12.75" thickTop="1">
      <c r="A52" s="183"/>
      <c r="B52" s="184"/>
      <c r="C52" s="184"/>
      <c r="D52" s="185"/>
      <c r="E52" s="181"/>
      <c r="F52" s="186"/>
      <c r="G52" s="186"/>
      <c r="H52" s="186"/>
    </row>
    <row r="55" spans="1:8">
      <c r="F55" s="286" t="e">
        <f>F51-'P&amp;L'!E48</f>
        <v>#REF!</v>
      </c>
    </row>
  </sheetData>
  <customSheetViews>
    <customSheetView guid="{84FBBE83-FF6F-4C76-A58E-D04643F715A5}" scale="110" showPageBreaks="1" printArea="1" view="pageBreakPreview" topLeftCell="A34">
      <selection activeCell="K26" sqref="K26"/>
      <colBreaks count="1" manualBreakCount="1">
        <brk id="8" max="1048575" man="1"/>
      </colBreaks>
      <pageMargins left="0.75" right="0.75" top="1" bottom="1" header="0.5" footer="0.5"/>
      <pageSetup paperSize="9" scale="82" orientation="portrait" r:id="rId1"/>
      <headerFooter alignWithMargins="0"/>
    </customSheetView>
  </customSheetViews>
  <mergeCells count="1">
    <mergeCell ref="F7:H7"/>
  </mergeCells>
  <phoneticPr fontId="23" type="noConversion"/>
  <pageMargins left="0.75" right="0.75" top="1" bottom="1" header="0.5" footer="0.5"/>
  <pageSetup paperSize="9" scale="82" orientation="portrait" r:id="rId2"/>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sheetPr codeName="Sheet9">
    <tabColor indexed="11"/>
    <pageSetUpPr fitToPage="1"/>
  </sheetPr>
  <dimension ref="A1:IP37"/>
  <sheetViews>
    <sheetView view="pageBreakPreview" topLeftCell="A13" zoomScaleSheetLayoutView="100" workbookViewId="0">
      <selection activeCell="C49" sqref="C49"/>
    </sheetView>
  </sheetViews>
  <sheetFormatPr defaultRowHeight="12"/>
  <cols>
    <col min="1" max="1" width="5.125" style="6" customWidth="1"/>
    <col min="2" max="2" width="3.625" style="6" customWidth="1"/>
    <col min="3" max="3" width="24.875" style="6" customWidth="1"/>
    <col min="4" max="4" width="4.375" style="6" customWidth="1"/>
    <col min="5" max="5" width="0.375" style="6" customWidth="1"/>
    <col min="6" max="6" width="9.875" style="6" customWidth="1"/>
    <col min="7" max="7" width="0.75" style="6" customWidth="1"/>
    <col min="8" max="8" width="9" style="6"/>
    <col min="9" max="9" width="0.875" style="6" customWidth="1"/>
    <col min="10" max="10" width="9" style="6"/>
    <col min="11" max="11" width="0.875" style="6" customWidth="1"/>
    <col min="12" max="12" width="9.375" style="6" customWidth="1"/>
    <col min="13" max="13" width="0.75" style="6" customWidth="1"/>
    <col min="14" max="14" width="9" style="6"/>
    <col min="15" max="15" width="0.875" style="6" customWidth="1"/>
    <col min="16" max="16" width="9" style="6"/>
    <col min="17" max="17" width="0.875" style="6" customWidth="1"/>
    <col min="18" max="18" width="9" style="6"/>
    <col min="19" max="19" width="0.875" style="6" customWidth="1"/>
    <col min="20" max="20" width="9" style="6"/>
    <col min="21" max="21" width="0.75" style="6" customWidth="1"/>
    <col min="22" max="16384" width="9" style="6"/>
  </cols>
  <sheetData>
    <row r="1" spans="1:20">
      <c r="A1" s="2" t="s">
        <v>255</v>
      </c>
      <c r="B1" s="2"/>
      <c r="C1" s="2"/>
      <c r="D1" s="2"/>
      <c r="E1" s="2"/>
      <c r="F1" s="2"/>
      <c r="G1" s="2"/>
    </row>
    <row r="2" spans="1:20">
      <c r="A2" s="433" t="s">
        <v>241</v>
      </c>
      <c r="B2" s="51"/>
      <c r="C2" s="51"/>
      <c r="D2" s="51"/>
      <c r="E2" s="51"/>
      <c r="F2" s="51"/>
      <c r="G2" s="18"/>
    </row>
    <row r="3" spans="1:20">
      <c r="A3" s="87" t="s">
        <v>446</v>
      </c>
      <c r="B3" s="51"/>
      <c r="C3" s="51"/>
      <c r="D3" s="51"/>
      <c r="E3" s="51"/>
      <c r="F3" s="51"/>
      <c r="G3" s="18"/>
    </row>
    <row r="4" spans="1:20">
      <c r="A4" s="87"/>
      <c r="B4" s="51"/>
      <c r="C4" s="51"/>
      <c r="D4" s="51"/>
      <c r="E4" s="51"/>
      <c r="F4" s="757" t="s">
        <v>448</v>
      </c>
      <c r="G4" s="758"/>
      <c r="H4" s="758"/>
      <c r="I4" s="758"/>
      <c r="J4" s="758"/>
      <c r="K4" s="758"/>
      <c r="L4" s="759"/>
      <c r="N4" s="757" t="s">
        <v>447</v>
      </c>
      <c r="O4" s="758"/>
      <c r="P4" s="758"/>
      <c r="Q4" s="758"/>
      <c r="R4" s="758"/>
      <c r="S4" s="758"/>
      <c r="T4" s="759"/>
    </row>
    <row r="5" spans="1:20" ht="36">
      <c r="A5" s="87"/>
      <c r="B5" s="51"/>
      <c r="C5" s="51"/>
      <c r="D5" s="51"/>
      <c r="E5" s="4"/>
      <c r="F5" s="392" t="s">
        <v>305</v>
      </c>
      <c r="G5" s="4"/>
      <c r="H5" s="392" t="s">
        <v>306</v>
      </c>
      <c r="I5" s="4"/>
      <c r="J5" s="503" t="s">
        <v>307</v>
      </c>
      <c r="K5" s="506"/>
      <c r="L5" s="503" t="s">
        <v>213</v>
      </c>
      <c r="N5" s="392" t="s">
        <v>305</v>
      </c>
      <c r="O5" s="4"/>
      <c r="P5" s="392" t="s">
        <v>306</v>
      </c>
      <c r="Q5" s="4"/>
      <c r="R5" s="503" t="s">
        <v>307</v>
      </c>
      <c r="S5" s="506"/>
      <c r="T5" s="503" t="s">
        <v>213</v>
      </c>
    </row>
    <row r="6" spans="1:20">
      <c r="A6" s="87"/>
      <c r="B6" s="51"/>
      <c r="C6" s="51"/>
      <c r="D6" s="51"/>
      <c r="E6" s="273"/>
      <c r="F6" s="765" t="s">
        <v>308</v>
      </c>
      <c r="G6" s="766"/>
      <c r="H6" s="766"/>
      <c r="I6" s="766"/>
      <c r="J6" s="766"/>
      <c r="K6" s="766"/>
      <c r="L6" s="767"/>
      <c r="N6" s="765" t="s">
        <v>308</v>
      </c>
      <c r="O6" s="766"/>
      <c r="P6" s="766"/>
      <c r="Q6" s="766"/>
      <c r="R6" s="766"/>
      <c r="S6" s="766"/>
      <c r="T6" s="767"/>
    </row>
    <row r="7" spans="1:20" s="129" customFormat="1" ht="11.25">
      <c r="D7" s="128" t="s">
        <v>146</v>
      </c>
      <c r="E7" s="465"/>
      <c r="F7" s="465"/>
      <c r="G7" s="131"/>
      <c r="N7" s="465"/>
      <c r="O7" s="131"/>
    </row>
    <row r="8" spans="1:20" s="129" customFormat="1" ht="11.25">
      <c r="D8" s="128"/>
      <c r="E8" s="466"/>
      <c r="F8" s="466"/>
      <c r="G8" s="412"/>
      <c r="N8" s="466"/>
      <c r="O8" s="605"/>
    </row>
    <row r="9" spans="1:20" s="133" customFormat="1" ht="11.25"/>
    <row r="10" spans="1:20" s="133" customFormat="1" ht="11.25">
      <c r="A10" s="139" t="s">
        <v>485</v>
      </c>
      <c r="D10" s="136"/>
      <c r="E10" s="135"/>
      <c r="F10" s="135">
        <v>-4294.5600000000004</v>
      </c>
      <c r="G10" s="135"/>
      <c r="H10" s="133">
        <v>1013.8779999999999</v>
      </c>
      <c r="J10" s="133">
        <v>1346.018</v>
      </c>
      <c r="L10" s="133">
        <v>-1934.6640000000007</v>
      </c>
      <c r="N10" s="135">
        <v>-5055.5600000000004</v>
      </c>
      <c r="O10" s="135"/>
      <c r="P10" s="133">
        <v>502.87799999999993</v>
      </c>
      <c r="R10" s="133">
        <v>870.01799999999992</v>
      </c>
      <c r="T10" s="133">
        <v>-3682.6640000000007</v>
      </c>
    </row>
    <row r="11" spans="1:20" s="133" customFormat="1" ht="11.25">
      <c r="A11" s="139"/>
    </row>
    <row r="12" spans="1:20" s="133" customFormat="1" ht="11.25">
      <c r="A12" s="144" t="s">
        <v>126</v>
      </c>
    </row>
    <row r="13" spans="1:20" s="133" customFormat="1" ht="11.25">
      <c r="A13" s="139"/>
    </row>
    <row r="14" spans="1:20" s="133" customFormat="1" ht="11.25">
      <c r="A14" s="139"/>
    </row>
    <row r="15" spans="1:20" s="133" customFormat="1" ht="11.25">
      <c r="A15" s="139" t="s">
        <v>541</v>
      </c>
    </row>
    <row r="16" spans="1:20" s="133" customFormat="1" ht="11.25">
      <c r="A16" s="274" t="s">
        <v>406</v>
      </c>
      <c r="D16" s="136">
        <v>6.4</v>
      </c>
      <c r="F16" s="133">
        <v>2177.277</v>
      </c>
      <c r="H16" s="133">
        <v>38</v>
      </c>
      <c r="J16" s="133">
        <v>170</v>
      </c>
      <c r="L16" s="133">
        <v>2385.277</v>
      </c>
      <c r="N16" s="133">
        <v>4304.277</v>
      </c>
      <c r="P16" s="133">
        <v>0</v>
      </c>
      <c r="R16" s="133">
        <v>0</v>
      </c>
      <c r="T16" s="133">
        <v>4304.277</v>
      </c>
    </row>
    <row r="17" spans="1:250" s="133" customFormat="1" ht="11.25">
      <c r="A17" s="139"/>
    </row>
    <row r="18" spans="1:250" s="133" customFormat="1" thickBot="1">
      <c r="A18" s="144" t="s">
        <v>542</v>
      </c>
      <c r="F18" s="505">
        <v>-2117.2830000000004</v>
      </c>
      <c r="G18" s="138"/>
      <c r="H18" s="505">
        <v>1051.8779999999999</v>
      </c>
      <c r="I18" s="138"/>
      <c r="J18" s="505">
        <v>1516.018</v>
      </c>
      <c r="K18" s="138"/>
      <c r="L18" s="505">
        <v>450.61299999999937</v>
      </c>
      <c r="N18" s="505">
        <v>-751.28300000000036</v>
      </c>
      <c r="O18" s="138"/>
      <c r="P18" s="505">
        <v>502.87799999999993</v>
      </c>
      <c r="Q18" s="138"/>
      <c r="R18" s="505">
        <v>870.01799999999992</v>
      </c>
      <c r="S18" s="138"/>
      <c r="T18" s="505">
        <v>621.61299999999937</v>
      </c>
    </row>
    <row r="19" spans="1:250" s="133" customFormat="1" thickTop="1">
      <c r="A19" s="144" t="s">
        <v>214</v>
      </c>
      <c r="F19" s="135"/>
    </row>
    <row r="20" spans="1:250">
      <c r="A20" s="52"/>
      <c r="B20" s="39"/>
      <c r="C20" s="39"/>
      <c r="D20" s="39"/>
      <c r="E20" s="39"/>
      <c r="F20" s="39"/>
    </row>
    <row r="21" spans="1:250" s="4" customFormat="1">
      <c r="A21" s="335" t="s">
        <v>555</v>
      </c>
      <c r="B21" s="271"/>
      <c r="C21" s="271"/>
      <c r="D21" s="271"/>
      <c r="E21" s="271"/>
      <c r="F21" s="271"/>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row>
    <row r="22" spans="1:250" s="4" customFormat="1">
      <c r="A22" s="269"/>
      <c r="B22" s="269"/>
      <c r="C22" s="269"/>
      <c r="D22" s="269"/>
      <c r="E22" s="269"/>
      <c r="F22" s="269"/>
      <c r="G22" s="13"/>
    </row>
    <row r="23" spans="1:250" s="4" customFormat="1" ht="12" customHeight="1">
      <c r="A23" s="170"/>
      <c r="B23" s="170"/>
      <c r="C23" s="170"/>
      <c r="D23" s="170"/>
      <c r="E23" s="170"/>
      <c r="F23" s="170"/>
      <c r="G23" s="13"/>
    </row>
    <row r="24" spans="1:250" s="4" customFormat="1" ht="12" customHeight="1">
      <c r="A24" s="170"/>
      <c r="B24" s="170"/>
      <c r="C24" s="170"/>
      <c r="D24" s="170"/>
      <c r="E24" s="170"/>
      <c r="F24" s="170"/>
      <c r="G24" s="13"/>
    </row>
    <row r="25" spans="1:250" s="4" customFormat="1" ht="12" customHeight="1">
      <c r="A25" s="170"/>
      <c r="B25" s="170"/>
      <c r="C25" s="170"/>
      <c r="D25" s="170"/>
      <c r="E25" s="170"/>
      <c r="F25" s="170"/>
      <c r="G25" s="13"/>
    </row>
    <row r="26" spans="1:250" s="4" customFormat="1" ht="12" customHeight="1">
      <c r="E26" s="13"/>
      <c r="G26" s="13"/>
    </row>
    <row r="27" spans="1:250" s="4" customFormat="1" ht="12" customHeight="1">
      <c r="A27" s="768" t="s">
        <v>361</v>
      </c>
      <c r="B27" s="768"/>
      <c r="C27" s="768"/>
      <c r="D27" s="768"/>
      <c r="E27" s="768"/>
      <c r="F27" s="768"/>
      <c r="G27" s="768"/>
      <c r="H27" s="768"/>
      <c r="I27" s="768"/>
      <c r="J27" s="768"/>
      <c r="K27" s="768"/>
      <c r="L27" s="768"/>
      <c r="M27" s="768"/>
      <c r="N27" s="768"/>
      <c r="O27" s="768"/>
      <c r="P27" s="768"/>
      <c r="Q27" s="768"/>
      <c r="R27" s="768"/>
      <c r="S27" s="768"/>
      <c r="T27" s="768"/>
    </row>
    <row r="28" spans="1:250" s="4" customFormat="1">
      <c r="A28" s="768" t="s">
        <v>362</v>
      </c>
      <c r="B28" s="768"/>
      <c r="C28" s="768"/>
      <c r="D28" s="768"/>
      <c r="E28" s="768"/>
      <c r="F28" s="768"/>
      <c r="G28" s="768"/>
      <c r="H28" s="768"/>
      <c r="I28" s="768"/>
      <c r="J28" s="768"/>
      <c r="K28" s="768"/>
      <c r="L28" s="768"/>
      <c r="M28" s="768"/>
      <c r="N28" s="768"/>
      <c r="O28" s="768"/>
      <c r="P28" s="768"/>
      <c r="Q28" s="768"/>
      <c r="R28" s="768"/>
      <c r="S28" s="768"/>
      <c r="T28" s="768"/>
    </row>
    <row r="29" spans="1:250" s="4" customFormat="1">
      <c r="A29" s="26"/>
      <c r="B29" s="26"/>
      <c r="C29" s="26"/>
      <c r="D29" s="3"/>
      <c r="E29" s="3"/>
      <c r="F29" s="3"/>
      <c r="G29" s="3"/>
      <c r="H29" s="3"/>
      <c r="I29" s="3"/>
      <c r="J29" s="3"/>
      <c r="K29" s="5"/>
      <c r="L29" s="5"/>
      <c r="M29" s="5"/>
      <c r="N29" s="25"/>
    </row>
    <row r="30" spans="1:250" s="4" customFormat="1">
      <c r="D30" s="413"/>
      <c r="E30" s="413"/>
      <c r="F30" s="413"/>
      <c r="G30" s="413"/>
      <c r="H30" s="413"/>
      <c r="I30" s="413"/>
      <c r="J30" s="413"/>
      <c r="K30" s="14"/>
      <c r="L30" s="14"/>
      <c r="M30" s="14"/>
      <c r="N30" s="25"/>
    </row>
    <row r="31" spans="1:250" s="4" customFormat="1">
      <c r="L31" s="25"/>
      <c r="M31" s="25"/>
      <c r="N31" s="25"/>
    </row>
    <row r="32" spans="1:250" s="29" customFormat="1">
      <c r="M32" s="25"/>
    </row>
    <row r="33" spans="1:250" s="4" customFormat="1">
      <c r="A33" s="756" t="s">
        <v>97</v>
      </c>
      <c r="B33" s="756"/>
      <c r="C33" s="756"/>
      <c r="D33" s="756"/>
      <c r="E33" s="756"/>
      <c r="F33" s="756"/>
      <c r="G33" s="756"/>
      <c r="H33" s="756"/>
      <c r="I33" s="756"/>
      <c r="J33" s="756"/>
      <c r="K33" s="756"/>
      <c r="L33" s="756"/>
      <c r="M33" s="756"/>
      <c r="N33" s="756"/>
      <c r="O33" s="756"/>
      <c r="P33" s="756"/>
      <c r="Q33" s="756"/>
      <c r="R33" s="756"/>
      <c r="S33" s="756"/>
      <c r="T33" s="756"/>
    </row>
    <row r="34" spans="1:250" s="4" customFormat="1">
      <c r="E34" s="6"/>
    </row>
    <row r="35" spans="1:250" s="4" customFormat="1">
      <c r="E35" s="6"/>
    </row>
    <row r="36" spans="1:250" s="4" customFormat="1">
      <c r="D36" s="5"/>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row>
    <row r="37" spans="1:250" s="4" customFormat="1">
      <c r="D37" s="5"/>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row>
  </sheetData>
  <customSheetViews>
    <customSheetView guid="{84FBBE83-FF6F-4C76-A58E-D04643F715A5}" showPageBreaks="1" printArea="1" view="pageBreakPreview">
      <selection activeCell="K26" sqref="K26"/>
      <pageMargins left="0.75" right="0.5" top="0.5" bottom="0.25" header="0" footer="0"/>
      <printOptions horizontalCentered="1"/>
      <pageSetup paperSize="9" orientation="portrait" r:id="rId1"/>
      <headerFooter alignWithMargins="0">
        <oddFooter>&amp;C3 of 11</oddFooter>
      </headerFooter>
    </customSheetView>
  </customSheetViews>
  <mergeCells count="7">
    <mergeCell ref="A33:T33"/>
    <mergeCell ref="F6:L6"/>
    <mergeCell ref="N6:T6"/>
    <mergeCell ref="F4:L4"/>
    <mergeCell ref="N4:T4"/>
    <mergeCell ref="A27:T27"/>
    <mergeCell ref="A28:T28"/>
  </mergeCells>
  <phoneticPr fontId="6" type="noConversion"/>
  <printOptions horizontalCentered="1"/>
  <pageMargins left="0.75" right="0.5" top="0.5" bottom="0.25" header="0" footer="0"/>
  <pageSetup paperSize="9" orientation="landscape" r:id="rId2"/>
  <headerFooter alignWithMargins="0">
    <oddFooter>&amp;C3 of 9</oddFooter>
  </headerFooter>
</worksheet>
</file>

<file path=xl/worksheets/sheet8.xml><?xml version="1.0" encoding="utf-8"?>
<worksheet xmlns="http://schemas.openxmlformats.org/spreadsheetml/2006/main" xmlns:r="http://schemas.openxmlformats.org/officeDocument/2006/relationships">
  <dimension ref="A1:G42"/>
  <sheetViews>
    <sheetView view="pageBreakPreview" zoomScale="110" zoomScaleSheetLayoutView="110" workbookViewId="0">
      <selection activeCell="K26" sqref="K26"/>
    </sheetView>
  </sheetViews>
  <sheetFormatPr defaultRowHeight="15.75"/>
  <cols>
    <col min="1" max="1" width="5.125" customWidth="1"/>
    <col min="2" max="2" width="3.625" style="6" customWidth="1"/>
    <col min="3" max="3" width="24.25" style="6" customWidth="1"/>
    <col min="4" max="4" width="4.375" style="6" customWidth="1"/>
    <col min="5" max="5" width="14.75" customWidth="1"/>
    <col min="6" max="6" width="12.625" customWidth="1"/>
    <col min="7" max="7" width="10.75" bestFit="1" customWidth="1"/>
  </cols>
  <sheetData>
    <row r="1" spans="1:7">
      <c r="A1" s="2" t="str">
        <f>BS!$A$1</f>
        <v>NIT ISLAMIC PENSION FUND</v>
      </c>
      <c r="B1" s="2"/>
      <c r="C1" s="2"/>
      <c r="D1" s="2"/>
      <c r="G1" s="348" t="s">
        <v>205</v>
      </c>
    </row>
    <row r="2" spans="1:7">
      <c r="A2" s="43" t="s">
        <v>129</v>
      </c>
      <c r="B2" s="51"/>
      <c r="C2" s="51"/>
      <c r="D2" s="51"/>
    </row>
    <row r="3" spans="1:7">
      <c r="A3" s="87" t="str">
        <f>'P&amp;L'!$A$3</f>
        <v>FOR THE NINE AND THREE MONTHS PERIOD ENDED MARCH 31, 2016 (Unaudited)</v>
      </c>
      <c r="B3" s="51"/>
      <c r="C3" s="51"/>
      <c r="D3" s="51"/>
    </row>
    <row r="4" spans="1:7">
      <c r="A4" s="87" t="s">
        <v>193</v>
      </c>
      <c r="B4" s="51"/>
      <c r="C4" s="51"/>
      <c r="D4" s="51"/>
    </row>
    <row r="5" spans="1:7">
      <c r="B5" s="51"/>
      <c r="C5" s="51"/>
      <c r="D5" s="51"/>
    </row>
    <row r="6" spans="1:7" ht="42" customHeight="1">
      <c r="B6" s="51"/>
      <c r="C6" s="51"/>
      <c r="D6" s="51"/>
      <c r="E6" s="233" t="s">
        <v>204</v>
      </c>
      <c r="F6" s="233" t="s">
        <v>206</v>
      </c>
      <c r="G6" s="233" t="s">
        <v>35</v>
      </c>
    </row>
    <row r="7" spans="1:7">
      <c r="A7" s="139" t="s">
        <v>189</v>
      </c>
      <c r="B7" s="275"/>
      <c r="C7" s="275"/>
      <c r="D7" s="275"/>
      <c r="E7" s="132" t="e">
        <f>'Other Comp Income'!#REF!</f>
        <v>#REF!</v>
      </c>
      <c r="F7" s="132">
        <v>-964290</v>
      </c>
      <c r="G7" s="132" t="e">
        <f>'Other Comp Income'!#REF!</f>
        <v>#REF!</v>
      </c>
    </row>
    <row r="8" spans="1:7" s="133" customFormat="1" ht="11.25">
      <c r="A8" s="139"/>
      <c r="G8" s="132"/>
    </row>
    <row r="9" spans="1:7">
      <c r="A9" s="144" t="s">
        <v>126</v>
      </c>
      <c r="B9" s="129"/>
      <c r="C9" s="129"/>
      <c r="D9" s="130"/>
      <c r="E9" s="132"/>
      <c r="G9" s="132"/>
    </row>
    <row r="10" spans="1:7" s="133" customFormat="1" ht="11.25">
      <c r="A10" s="139"/>
      <c r="G10" s="132"/>
    </row>
    <row r="11" spans="1:7">
      <c r="A11" s="139" t="s">
        <v>191</v>
      </c>
      <c r="B11" s="133"/>
      <c r="C11" s="133"/>
      <c r="D11" s="133"/>
      <c r="E11" s="132"/>
      <c r="G11" s="132"/>
    </row>
    <row r="12" spans="1:7">
      <c r="A12" s="146" t="s">
        <v>18</v>
      </c>
      <c r="B12" s="133"/>
      <c r="C12" s="133"/>
      <c r="D12" s="136"/>
      <c r="E12" s="132"/>
      <c r="G12" s="132"/>
    </row>
    <row r="13" spans="1:7">
      <c r="A13" s="274" t="s">
        <v>19</v>
      </c>
      <c r="B13" s="133"/>
      <c r="C13" s="133"/>
      <c r="D13" s="133"/>
      <c r="E13" s="132" t="e">
        <f>'Other Comp Income'!#REF!</f>
        <v>#REF!</v>
      </c>
      <c r="F13" s="132">
        <v>6472300</v>
      </c>
      <c r="G13" s="132" t="e">
        <f>E13-F13</f>
        <v>#REF!</v>
      </c>
    </row>
    <row r="14" spans="1:7" s="133" customFormat="1" ht="11.25">
      <c r="A14" s="139"/>
      <c r="G14" s="132"/>
    </row>
    <row r="15" spans="1:7" ht="16.5" thickBot="1">
      <c r="A15" s="144" t="s">
        <v>194</v>
      </c>
      <c r="B15" s="133"/>
      <c r="C15" s="133"/>
      <c r="D15" s="133"/>
      <c r="E15" s="288" t="e">
        <f>E7+E13</f>
        <v>#REF!</v>
      </c>
      <c r="F15" s="288">
        <f>F7+F13</f>
        <v>5508010</v>
      </c>
      <c r="G15" s="288" t="e">
        <f>SUM(G7:G14)</f>
        <v>#REF!</v>
      </c>
    </row>
    <row r="16" spans="1:7" ht="16.5" thickTop="1">
      <c r="A16" s="144"/>
      <c r="B16" s="133"/>
      <c r="C16" s="133"/>
      <c r="D16" s="133"/>
    </row>
    <row r="17" spans="2:4">
      <c r="B17" s="133"/>
      <c r="C17" s="133"/>
      <c r="D17" s="133"/>
    </row>
    <row r="18" spans="2:4">
      <c r="B18" s="133"/>
      <c r="C18" s="133"/>
      <c r="D18" s="136"/>
    </row>
    <row r="19" spans="2:4">
      <c r="B19" s="133"/>
      <c r="C19" s="133"/>
      <c r="D19" s="133"/>
    </row>
    <row r="20" spans="2:4">
      <c r="B20" s="133"/>
      <c r="C20" s="133"/>
      <c r="D20" s="133"/>
    </row>
    <row r="21" spans="2:4">
      <c r="B21" s="133"/>
      <c r="C21" s="133"/>
      <c r="D21" s="133"/>
    </row>
    <row r="22" spans="2:4">
      <c r="B22" s="39"/>
      <c r="C22" s="39"/>
      <c r="D22" s="39"/>
    </row>
    <row r="23" spans="2:4">
      <c r="B23" s="271"/>
      <c r="C23" s="271"/>
      <c r="D23" s="271"/>
    </row>
    <row r="24" spans="2:4">
      <c r="B24" s="269"/>
      <c r="C24" s="269"/>
      <c r="D24" s="269"/>
    </row>
    <row r="25" spans="2:4">
      <c r="B25" s="170"/>
      <c r="C25" s="170"/>
      <c r="D25" s="170"/>
    </row>
    <row r="26" spans="2:4">
      <c r="B26" s="170"/>
      <c r="C26" s="170"/>
      <c r="D26" s="170"/>
    </row>
    <row r="27" spans="2:4">
      <c r="B27" s="170"/>
      <c r="C27" s="170"/>
      <c r="D27" s="170"/>
    </row>
    <row r="28" spans="2:4">
      <c r="B28" s="4"/>
      <c r="C28" s="4"/>
      <c r="D28" s="4"/>
    </row>
    <row r="29" spans="2:4">
      <c r="B29" s="26"/>
      <c r="C29" s="3"/>
      <c r="D29" s="3"/>
    </row>
    <row r="30" spans="2:4">
      <c r="B30" s="26"/>
      <c r="C30" s="3"/>
      <c r="D30" s="3"/>
    </row>
    <row r="31" spans="2:4">
      <c r="B31" s="26"/>
      <c r="C31" s="26"/>
      <c r="D31" s="3"/>
    </row>
    <row r="32" spans="2:4">
      <c r="B32" s="4"/>
      <c r="C32" s="4"/>
      <c r="D32" s="7"/>
    </row>
    <row r="33" spans="2:4">
      <c r="B33" s="4"/>
      <c r="C33" s="4"/>
      <c r="D33" s="4"/>
    </row>
    <row r="34" spans="2:4">
      <c r="B34" s="280"/>
      <c r="C34" s="280"/>
      <c r="D34" s="280"/>
    </row>
    <row r="35" spans="2:4">
      <c r="B35" s="4"/>
      <c r="C35" s="4"/>
      <c r="D35" s="4"/>
    </row>
    <row r="36" spans="2:4">
      <c r="B36" s="4"/>
      <c r="C36" s="4"/>
      <c r="D36" s="4"/>
    </row>
    <row r="37" spans="2:4">
      <c r="B37" s="4"/>
      <c r="C37" s="4"/>
      <c r="D37" s="4"/>
    </row>
    <row r="38" spans="2:4">
      <c r="B38" s="4"/>
      <c r="C38" s="4"/>
      <c r="D38" s="4"/>
    </row>
    <row r="39" spans="2:4">
      <c r="B39" s="26"/>
      <c r="C39" s="26"/>
      <c r="D39" s="26"/>
    </row>
    <row r="40" spans="2:4">
      <c r="B40" s="26"/>
      <c r="C40" s="26"/>
      <c r="D40" s="26"/>
    </row>
    <row r="41" spans="2:4">
      <c r="B41" s="4"/>
      <c r="C41" s="4"/>
      <c r="D41" s="5"/>
    </row>
    <row r="42" spans="2:4">
      <c r="B42" s="4"/>
      <c r="C42" s="4"/>
      <c r="D42" s="5"/>
    </row>
  </sheetData>
  <customSheetViews>
    <customSheetView guid="{84FBBE83-FF6F-4C76-A58E-D04643F715A5}" scale="110" showPageBreaks="1" view="pageBreakPreview">
      <selection activeCell="F21" sqref="F21"/>
      <pageMargins left="0.7" right="0.7" top="0.75" bottom="0.75" header="0.3" footer="0.3"/>
      <pageSetup orientation="portrait" r:id="rId1"/>
    </customSheetView>
  </customSheetView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dimension ref="A1:K45"/>
  <sheetViews>
    <sheetView workbookViewId="0">
      <selection activeCell="B51" sqref="B51:H53"/>
    </sheetView>
  </sheetViews>
  <sheetFormatPr defaultRowHeight="15.75"/>
  <cols>
    <col min="1" max="1" width="5.125" style="6" customWidth="1"/>
    <col min="2" max="2" width="3.625" style="6" customWidth="1"/>
    <col min="3" max="3" width="24.25" style="6" customWidth="1"/>
    <col min="4" max="4" width="4.375" style="6" customWidth="1"/>
    <col min="5" max="5" width="13.125" style="18" customWidth="1"/>
    <col min="6" max="6" width="13.875" style="6" customWidth="1"/>
  </cols>
  <sheetData>
    <row r="1" spans="1:11">
      <c r="A1" s="2" t="str">
        <f>BS!$A$1</f>
        <v>NIT ISLAMIC PENSION FUND</v>
      </c>
      <c r="B1" s="2"/>
      <c r="C1" s="2"/>
      <c r="D1" s="2"/>
      <c r="E1" s="2"/>
      <c r="F1" s="2"/>
      <c r="G1" s="348" t="s">
        <v>205</v>
      </c>
    </row>
    <row r="2" spans="1:11">
      <c r="A2" s="43" t="s">
        <v>130</v>
      </c>
      <c r="B2" s="51"/>
      <c r="C2" s="51"/>
      <c r="D2" s="51"/>
      <c r="E2" s="51"/>
      <c r="F2" s="51"/>
    </row>
    <row r="3" spans="1:11">
      <c r="A3" s="87" t="str">
        <f>'P&amp;L'!$A$3</f>
        <v>FOR THE NINE AND THREE MONTHS PERIOD ENDED MARCH 31, 2016 (Unaudited)</v>
      </c>
      <c r="B3" s="51"/>
      <c r="C3" s="51"/>
      <c r="D3" s="51"/>
      <c r="E3" s="51"/>
      <c r="F3" s="51"/>
    </row>
    <row r="4" spans="1:11">
      <c r="A4" s="87" t="s">
        <v>193</v>
      </c>
      <c r="B4" s="51"/>
      <c r="C4" s="51"/>
      <c r="D4" s="51"/>
      <c r="E4" s="51"/>
      <c r="F4" s="51"/>
    </row>
    <row r="5" spans="1:11">
      <c r="A5" s="87"/>
      <c r="B5" s="51"/>
      <c r="C5" s="51"/>
      <c r="D5" s="51"/>
      <c r="E5" s="51"/>
      <c r="F5" s="51"/>
    </row>
    <row r="6" spans="1:11" ht="24">
      <c r="A6" s="127"/>
      <c r="B6" s="127"/>
      <c r="C6" s="127"/>
      <c r="D6" s="128"/>
      <c r="E6" s="233" t="s">
        <v>204</v>
      </c>
      <c r="F6" s="233" t="s">
        <v>206</v>
      </c>
      <c r="G6" s="233" t="s">
        <v>35</v>
      </c>
    </row>
    <row r="7" spans="1:11">
      <c r="A7" s="127"/>
      <c r="B7" s="127"/>
      <c r="C7" s="127"/>
      <c r="D7" s="128"/>
      <c r="E7" s="291" t="s">
        <v>170</v>
      </c>
      <c r="F7" s="292"/>
      <c r="G7" s="293"/>
      <c r="H7" s="290"/>
      <c r="I7" s="290"/>
      <c r="J7" s="290"/>
      <c r="K7" s="290"/>
    </row>
    <row r="8" spans="1:11">
      <c r="A8" s="139" t="s">
        <v>106</v>
      </c>
      <c r="B8" s="129"/>
      <c r="C8" s="129"/>
      <c r="D8" s="130"/>
      <c r="E8" s="135" t="e">
        <f>#REF!</f>
        <v>#REF!</v>
      </c>
      <c r="F8" s="135">
        <v>10236793</v>
      </c>
      <c r="G8" s="133">
        <f>F15</f>
        <v>4474785</v>
      </c>
    </row>
    <row r="9" spans="1:11" s="133" customFormat="1" ht="11.25">
      <c r="A9" s="139"/>
    </row>
    <row r="10" spans="1:11">
      <c r="A10" s="141" t="s">
        <v>208</v>
      </c>
      <c r="B10" s="129"/>
      <c r="C10" s="129"/>
      <c r="D10" s="128"/>
      <c r="E10" s="131"/>
      <c r="F10" s="131"/>
      <c r="G10" s="133"/>
    </row>
    <row r="11" spans="1:11">
      <c r="A11" s="143" t="s">
        <v>209</v>
      </c>
      <c r="B11" s="133"/>
      <c r="C11" s="133"/>
      <c r="D11" s="136"/>
      <c r="E11" s="135" t="e">
        <f>#REF!</f>
        <v>#REF!</v>
      </c>
      <c r="F11" s="140">
        <v>-4797718</v>
      </c>
      <c r="G11" s="133" t="e">
        <f>E11-F11</f>
        <v>#REF!</v>
      </c>
    </row>
    <row r="12" spans="1:11" s="133" customFormat="1" ht="11.25">
      <c r="A12" s="139"/>
    </row>
    <row r="13" spans="1:11">
      <c r="A13" s="139" t="s">
        <v>195</v>
      </c>
      <c r="B13" s="133"/>
      <c r="C13" s="133"/>
      <c r="D13" s="133"/>
      <c r="E13" s="133" t="e">
        <f>#REF!</f>
        <v>#REF!</v>
      </c>
      <c r="F13" s="133">
        <v>-964290</v>
      </c>
      <c r="G13" s="133" t="e">
        <f>#REF!</f>
        <v>#REF!</v>
      </c>
    </row>
    <row r="14" spans="1:11" s="133" customFormat="1" ht="11.25">
      <c r="A14" s="139"/>
    </row>
    <row r="15" spans="1:11" ht="16.5" thickBot="1">
      <c r="A15" s="139" t="s">
        <v>82</v>
      </c>
      <c r="B15" s="133"/>
      <c r="C15" s="133"/>
      <c r="D15" s="133"/>
      <c r="E15" s="145" t="e">
        <f>E8+E11+E13</f>
        <v>#REF!</v>
      </c>
      <c r="F15" s="145">
        <f>F8+F11+F13</f>
        <v>4474785</v>
      </c>
      <c r="G15" s="145" t="e">
        <f>G8+G11+G13</f>
        <v>#REF!</v>
      </c>
    </row>
    <row r="16" spans="1:11" ht="16.5" thickTop="1">
      <c r="A16" s="139"/>
      <c r="B16" s="133"/>
      <c r="C16" s="133"/>
      <c r="D16" s="133"/>
      <c r="E16" s="133"/>
      <c r="F16" s="135"/>
      <c r="G16" s="289"/>
    </row>
    <row r="17" spans="1:6">
      <c r="A17" s="142"/>
      <c r="B17" s="137"/>
      <c r="C17" s="137"/>
      <c r="D17" s="137"/>
      <c r="E17"/>
      <c r="F17" s="289"/>
    </row>
    <row r="18" spans="1:6">
      <c r="A18" s="139"/>
      <c r="B18" s="137"/>
      <c r="C18" s="137"/>
      <c r="D18" s="137"/>
      <c r="E18"/>
      <c r="F18" s="289"/>
    </row>
    <row r="19" spans="1:6">
      <c r="A19" s="23"/>
      <c r="E19"/>
      <c r="F19"/>
    </row>
    <row r="20" spans="1:6">
      <c r="A20" s="52"/>
      <c r="B20" s="39"/>
      <c r="C20" s="39"/>
      <c r="D20" s="39"/>
      <c r="E20"/>
      <c r="F20"/>
    </row>
    <row r="21" spans="1:6">
      <c r="A21" s="77"/>
      <c r="B21" s="63"/>
      <c r="C21" s="63"/>
      <c r="D21" s="63"/>
      <c r="E21" s="63"/>
      <c r="F21" s="63"/>
    </row>
    <row r="22" spans="1:6">
      <c r="A22" s="46"/>
      <c r="B22" s="46"/>
      <c r="C22" s="46"/>
      <c r="D22" s="46"/>
      <c r="E22" s="46"/>
      <c r="F22" s="46"/>
    </row>
    <row r="23" spans="1:6">
      <c r="A23" s="170"/>
      <c r="B23" s="170"/>
      <c r="C23" s="170"/>
      <c r="D23" s="170"/>
      <c r="E23" s="170"/>
      <c r="F23" s="170"/>
    </row>
    <row r="24" spans="1:6">
      <c r="A24" s="170"/>
      <c r="B24" s="170"/>
      <c r="C24" s="170"/>
      <c r="D24" s="170"/>
      <c r="E24" s="170"/>
      <c r="F24" s="170"/>
    </row>
    <row r="25" spans="1:6">
      <c r="A25" s="4"/>
      <c r="B25" s="170"/>
      <c r="C25" s="4"/>
      <c r="D25" s="4"/>
      <c r="E25" s="5"/>
      <c r="F25" s="4"/>
    </row>
    <row r="26" spans="1:6">
      <c r="A26" s="279"/>
      <c r="B26" s="26"/>
      <c r="C26" s="3"/>
      <c r="D26" s="3"/>
      <c r="E26" s="3"/>
      <c r="F26" s="3"/>
    </row>
    <row r="27" spans="1:6">
      <c r="A27" s="279"/>
      <c r="B27" s="26"/>
      <c r="C27" s="3"/>
      <c r="D27" s="3"/>
      <c r="E27" s="3"/>
      <c r="F27" s="3"/>
    </row>
    <row r="28" spans="1:6">
      <c r="A28" s="26"/>
      <c r="B28" s="26"/>
      <c r="C28" s="26"/>
      <c r="D28" s="3"/>
      <c r="E28" s="3"/>
      <c r="F28" s="3"/>
    </row>
    <row r="29" spans="1:6">
      <c r="A29" s="26"/>
      <c r="B29" s="26"/>
      <c r="C29" s="26"/>
      <c r="D29" s="3"/>
      <c r="E29" s="3"/>
      <c r="F29" s="3"/>
    </row>
    <row r="30" spans="1:6">
      <c r="A30" s="26"/>
      <c r="B30" s="26"/>
      <c r="C30" s="26"/>
      <c r="D30" s="26"/>
      <c r="E30" s="26"/>
      <c r="F30" s="26"/>
    </row>
    <row r="31" spans="1:6">
      <c r="A31" s="279"/>
      <c r="B31" s="26"/>
      <c r="C31" s="280"/>
      <c r="D31" s="280"/>
      <c r="E31" s="280"/>
      <c r="F31" s="280"/>
    </row>
    <row r="32" spans="1:6">
      <c r="A32" s="26"/>
      <c r="B32" s="280"/>
      <c r="C32" s="26"/>
      <c r="D32" s="26"/>
      <c r="E32" s="278"/>
      <c r="F32" s="26"/>
    </row>
    <row r="33" spans="1:6">
      <c r="A33" s="26"/>
      <c r="B33" s="26"/>
      <c r="C33" s="26"/>
      <c r="D33" s="26"/>
      <c r="E33" s="278"/>
      <c r="F33" s="26"/>
    </row>
    <row r="34" spans="1:6">
      <c r="A34" s="26"/>
      <c r="B34" s="26"/>
      <c r="C34" s="26"/>
      <c r="D34" s="26"/>
      <c r="E34" s="278"/>
      <c r="F34" s="26"/>
    </row>
    <row r="35" spans="1:6">
      <c r="A35" s="3"/>
      <c r="B35" s="26"/>
      <c r="C35" s="26"/>
      <c r="D35" s="26"/>
      <c r="E35" s="278"/>
      <c r="F35" s="26"/>
    </row>
    <row r="36" spans="1:6">
      <c r="A36" s="3"/>
      <c r="B36" s="26"/>
      <c r="C36" s="26"/>
      <c r="D36" s="26"/>
      <c r="E36" s="278"/>
      <c r="F36" s="26"/>
    </row>
    <row r="37" spans="1:6">
      <c r="A37" s="3"/>
      <c r="B37" s="26"/>
      <c r="C37" s="26"/>
      <c r="D37" s="26"/>
      <c r="E37" s="278"/>
      <c r="F37" s="26"/>
    </row>
    <row r="38" spans="1:6">
      <c r="A38" s="2"/>
      <c r="B38" s="50"/>
      <c r="C38" s="50"/>
      <c r="D38" s="50"/>
      <c r="E38" s="102"/>
      <c r="F38" s="50"/>
    </row>
    <row r="39" spans="1:6">
      <c r="A39" s="2"/>
      <c r="B39" s="50"/>
      <c r="C39" s="50"/>
      <c r="D39" s="50"/>
      <c r="E39" s="102"/>
      <c r="F39" s="50"/>
    </row>
    <row r="40" spans="1:6">
      <c r="A40" s="2"/>
      <c r="B40" s="50"/>
      <c r="C40" s="50"/>
      <c r="D40" s="50"/>
      <c r="E40" s="102"/>
      <c r="F40" s="50"/>
    </row>
    <row r="41" spans="1:6">
      <c r="A41" s="2"/>
      <c r="B41" s="50"/>
      <c r="C41" s="50"/>
      <c r="D41" s="50"/>
      <c r="E41" s="102"/>
      <c r="F41" s="50"/>
    </row>
    <row r="42" spans="1:6">
      <c r="A42" s="4"/>
      <c r="B42" s="50"/>
      <c r="C42" s="4"/>
      <c r="D42" s="5"/>
      <c r="E42" s="6"/>
      <c r="F42" s="13"/>
    </row>
    <row r="43" spans="1:6">
      <c r="A43" s="4"/>
      <c r="B43" s="4"/>
      <c r="C43" s="4"/>
      <c r="D43" s="5"/>
      <c r="E43" s="6"/>
      <c r="F43" s="13"/>
    </row>
    <row r="44" spans="1:6">
      <c r="A44" s="169"/>
      <c r="B44" s="4"/>
      <c r="C44" s="169"/>
      <c r="D44" s="169"/>
      <c r="E44" s="169"/>
      <c r="F44" s="169"/>
    </row>
    <row r="45" spans="1:6">
      <c r="B45" s="169"/>
    </row>
  </sheetData>
  <customSheetViews>
    <customSheetView guid="{84FBBE83-FF6F-4C76-A58E-D04643F715A5}">
      <selection activeCell="F12" sqref="F11:F12"/>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sheetPr codeName="Sheet11">
    <tabColor indexed="11"/>
  </sheetPr>
  <dimension ref="A1:FT44"/>
  <sheetViews>
    <sheetView view="pageBreakPreview" topLeftCell="A33" zoomScaleSheetLayoutView="100" workbookViewId="0">
      <selection activeCell="H47" sqref="H47"/>
    </sheetView>
  </sheetViews>
  <sheetFormatPr defaultRowHeight="12"/>
  <cols>
    <col min="1" max="1" width="5.125" style="78" customWidth="1"/>
    <col min="2" max="2" width="3.625" style="79" customWidth="1"/>
    <col min="3" max="3" width="28.375" style="79" customWidth="1"/>
    <col min="4" max="4" width="5.875" style="79" customWidth="1"/>
    <col min="5" max="5" width="1.25" style="79" customWidth="1"/>
    <col min="6" max="6" width="10.5" style="79" bestFit="1" customWidth="1"/>
    <col min="7" max="7" width="1.25" style="79" customWidth="1"/>
    <col min="8" max="8" width="9.625" style="79" bestFit="1" customWidth="1"/>
    <col min="9" max="9" width="1" style="79" customWidth="1"/>
    <col min="10" max="10" width="9.625" style="79" bestFit="1" customWidth="1"/>
    <col min="11" max="11" width="0.75" style="79" customWidth="1"/>
    <col min="12" max="12" width="9.75" style="371" customWidth="1"/>
    <col min="13" max="13" width="1.125" style="371" customWidth="1"/>
    <col min="14" max="16384" width="9" style="79"/>
  </cols>
  <sheetData>
    <row r="1" spans="1:176">
      <c r="A1" s="2" t="s">
        <v>255</v>
      </c>
      <c r="B1" s="85"/>
      <c r="C1" s="85"/>
      <c r="D1" s="85"/>
      <c r="F1" s="86"/>
      <c r="G1" s="86"/>
    </row>
    <row r="2" spans="1:176">
      <c r="A2" s="431" t="s">
        <v>453</v>
      </c>
      <c r="B2" s="87"/>
      <c r="C2" s="87"/>
      <c r="D2" s="85"/>
      <c r="F2" s="86"/>
      <c r="G2" s="86"/>
    </row>
    <row r="3" spans="1:176" s="78" customFormat="1">
      <c r="A3" s="87" t="s">
        <v>452</v>
      </c>
      <c r="B3" s="87"/>
      <c r="C3" s="87"/>
      <c r="D3" s="85"/>
      <c r="E3" s="79"/>
      <c r="F3" s="88"/>
      <c r="G3" s="88"/>
    </row>
    <row r="4" spans="1:176" s="78" customFormat="1" ht="36">
      <c r="A4" s="87"/>
      <c r="B4" s="87"/>
      <c r="C4" s="87"/>
      <c r="D4" s="85"/>
      <c r="E4" s="4"/>
      <c r="F4" s="392" t="s">
        <v>305</v>
      </c>
      <c r="G4" s="4"/>
      <c r="H4" s="392" t="s">
        <v>306</v>
      </c>
      <c r="I4" s="4"/>
      <c r="J4" s="503" t="s">
        <v>307</v>
      </c>
      <c r="K4" s="506"/>
      <c r="L4" s="476" t="s">
        <v>213</v>
      </c>
    </row>
    <row r="5" spans="1:176" s="129" customFormat="1" ht="11.25">
      <c r="D5" s="130"/>
      <c r="E5" s="577"/>
      <c r="F5" s="769" t="s">
        <v>275</v>
      </c>
      <c r="G5" s="770"/>
      <c r="H5" s="770"/>
      <c r="I5" s="770"/>
      <c r="J5" s="770"/>
      <c r="K5" s="770"/>
      <c r="L5" s="771"/>
    </row>
    <row r="6" spans="1:176" s="129" customFormat="1" ht="11.25">
      <c r="D6" s="128"/>
      <c r="E6" s="466"/>
      <c r="F6" s="466"/>
      <c r="G6" s="351"/>
    </row>
    <row r="7" spans="1:176" s="151" customFormat="1" ht="11.25">
      <c r="A7" s="147"/>
      <c r="B7" s="147"/>
      <c r="C7" s="147"/>
      <c r="D7" s="148"/>
      <c r="E7" s="149"/>
      <c r="F7" s="150"/>
      <c r="G7" s="149"/>
    </row>
    <row r="8" spans="1:176" s="151" customFormat="1">
      <c r="A8" s="166" t="s">
        <v>142</v>
      </c>
      <c r="B8" s="147"/>
      <c r="C8" s="147"/>
      <c r="D8" s="152"/>
      <c r="E8" s="78"/>
      <c r="F8" s="354">
        <v>100909</v>
      </c>
      <c r="G8" s="148"/>
      <c r="H8" s="354">
        <v>75791</v>
      </c>
      <c r="J8" s="354">
        <v>78624</v>
      </c>
      <c r="L8" s="90">
        <v>255324</v>
      </c>
    </row>
    <row r="9" spans="1:176" s="151" customFormat="1">
      <c r="A9" s="166"/>
      <c r="B9" s="147"/>
      <c r="C9" s="147"/>
      <c r="D9" s="152"/>
      <c r="E9" s="78"/>
      <c r="F9" s="354"/>
      <c r="G9" s="148"/>
      <c r="H9" s="354"/>
      <c r="J9" s="354"/>
      <c r="L9" s="90"/>
    </row>
    <row r="10" spans="1:176" s="152" customFormat="1">
      <c r="A10" s="78" t="s">
        <v>454</v>
      </c>
      <c r="B10" s="147"/>
      <c r="C10" s="147"/>
      <c r="E10" s="78"/>
      <c r="F10" s="355">
        <v>9026.5689999999995</v>
      </c>
      <c r="G10" s="148"/>
      <c r="H10" s="355">
        <v>4142.6000000000004</v>
      </c>
      <c r="J10" s="355">
        <v>6036.6</v>
      </c>
      <c r="L10" s="192">
        <v>19206.769</v>
      </c>
    </row>
    <row r="11" spans="1:176" s="152" customFormat="1">
      <c r="A11" s="78"/>
      <c r="B11" s="147"/>
      <c r="C11" s="147"/>
      <c r="E11" s="78"/>
      <c r="F11" s="356"/>
      <c r="G11" s="148"/>
      <c r="H11" s="356"/>
      <c r="J11" s="356"/>
      <c r="L11" s="193"/>
    </row>
    <row r="12" spans="1:176" s="152" customFormat="1">
      <c r="A12" s="78" t="s">
        <v>455</v>
      </c>
      <c r="B12" s="147"/>
      <c r="C12" s="147"/>
      <c r="E12" s="78"/>
      <c r="F12" s="357">
        <v>-1484</v>
      </c>
      <c r="H12" s="357">
        <v>-34</v>
      </c>
      <c r="J12" s="357">
        <v>-1510</v>
      </c>
      <c r="L12" s="194">
        <v>-3028</v>
      </c>
    </row>
    <row r="13" spans="1:176" s="152" customFormat="1">
      <c r="A13" s="78"/>
      <c r="B13" s="147"/>
      <c r="C13" s="147"/>
      <c r="E13" s="78"/>
      <c r="F13" s="91">
        <v>7542.5689999999995</v>
      </c>
      <c r="G13" s="154"/>
      <c r="H13" s="91">
        <v>4108.6000000000004</v>
      </c>
      <c r="J13" s="91">
        <v>4526.6000000000004</v>
      </c>
      <c r="L13" s="91">
        <v>16178.769</v>
      </c>
    </row>
    <row r="14" spans="1:176" s="151" customFormat="1">
      <c r="A14" s="197"/>
      <c r="B14" s="152"/>
      <c r="C14" s="152"/>
      <c r="D14" s="152"/>
      <c r="E14" s="78"/>
      <c r="F14" s="198"/>
      <c r="G14" s="155"/>
      <c r="H14" s="198"/>
      <c r="J14" s="198"/>
      <c r="L14" s="198"/>
      <c r="FT14" s="156"/>
    </row>
    <row r="15" spans="1:176" s="151" customFormat="1">
      <c r="A15" s="200"/>
      <c r="B15" s="147"/>
      <c r="C15" s="147"/>
      <c r="E15" s="78"/>
      <c r="F15" s="585"/>
      <c r="G15" s="157"/>
      <c r="H15" s="585"/>
      <c r="J15" s="585"/>
      <c r="L15" s="585"/>
    </row>
    <row r="16" spans="1:176" s="151" customFormat="1">
      <c r="A16" s="200" t="s">
        <v>550</v>
      </c>
      <c r="B16" s="147"/>
      <c r="C16" s="147"/>
      <c r="E16" s="78"/>
      <c r="F16" s="586"/>
      <c r="G16" s="157"/>
      <c r="H16" s="586"/>
      <c r="J16" s="586"/>
      <c r="L16" s="586"/>
    </row>
    <row r="17" spans="1:176" s="151" customFormat="1">
      <c r="A17" s="202" t="s">
        <v>551</v>
      </c>
      <c r="B17" s="147"/>
      <c r="C17" s="147"/>
      <c r="E17" s="78"/>
      <c r="F17" s="356">
        <v>2177.277</v>
      </c>
      <c r="G17" s="157"/>
      <c r="H17" s="356">
        <v>38</v>
      </c>
      <c r="J17" s="356">
        <v>170</v>
      </c>
      <c r="L17" s="586">
        <v>2385.277</v>
      </c>
    </row>
    <row r="18" spans="1:176" s="158" customFormat="1">
      <c r="A18" s="89"/>
      <c r="B18" s="147"/>
      <c r="C18" s="147"/>
      <c r="E18" s="78"/>
      <c r="F18" s="586"/>
      <c r="G18" s="157"/>
      <c r="H18" s="586"/>
      <c r="I18" s="151"/>
      <c r="J18" s="586"/>
      <c r="K18" s="151"/>
      <c r="L18" s="586"/>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row>
    <row r="19" spans="1:176" s="151" customFormat="1" hidden="1">
      <c r="A19" s="54" t="s">
        <v>407</v>
      </c>
      <c r="E19" s="6"/>
      <c r="F19" s="15">
        <v>0</v>
      </c>
      <c r="G19" s="584"/>
      <c r="H19" s="15">
        <v>0</v>
      </c>
      <c r="I19" s="584"/>
      <c r="J19" s="15">
        <v>0</v>
      </c>
      <c r="K19" s="584"/>
      <c r="L19" s="15">
        <v>0</v>
      </c>
    </row>
    <row r="20" spans="1:176" s="151" customFormat="1" hidden="1">
      <c r="A20" s="152"/>
      <c r="E20" s="6"/>
      <c r="F20" s="15"/>
      <c r="G20" s="584"/>
      <c r="H20" s="15"/>
      <c r="I20" s="584"/>
      <c r="J20" s="15"/>
      <c r="K20" s="584"/>
      <c r="L20" s="15"/>
    </row>
    <row r="21" spans="1:176" s="151" customFormat="1" hidden="1">
      <c r="A21" s="78" t="s">
        <v>212</v>
      </c>
      <c r="E21" s="6"/>
      <c r="F21" s="15"/>
      <c r="G21" s="584"/>
      <c r="H21" s="15"/>
      <c r="I21" s="584"/>
      <c r="J21" s="15"/>
      <c r="K21" s="584"/>
      <c r="L21" s="15"/>
    </row>
    <row r="22" spans="1:176" s="151" customFormat="1" hidden="1">
      <c r="A22" s="353" t="s">
        <v>23</v>
      </c>
      <c r="E22" s="6"/>
      <c r="F22" s="15"/>
      <c r="G22" s="584"/>
      <c r="H22" s="15"/>
      <c r="I22" s="584"/>
      <c r="J22" s="15"/>
      <c r="K22" s="584"/>
      <c r="L22" s="15"/>
    </row>
    <row r="23" spans="1:176" s="151" customFormat="1" hidden="1">
      <c r="A23" s="197" t="s">
        <v>24</v>
      </c>
      <c r="E23" s="6"/>
      <c r="F23" s="15">
        <v>0</v>
      </c>
      <c r="G23" s="584"/>
      <c r="H23" s="15">
        <v>0</v>
      </c>
      <c r="I23" s="584"/>
      <c r="J23" s="15">
        <v>0</v>
      </c>
      <c r="K23" s="584"/>
      <c r="L23" s="15">
        <v>0</v>
      </c>
    </row>
    <row r="24" spans="1:176" s="151" customFormat="1">
      <c r="A24" s="153"/>
      <c r="E24" s="6"/>
      <c r="F24" s="15"/>
      <c r="G24" s="584"/>
      <c r="H24" s="15"/>
      <c r="I24" s="584"/>
      <c r="J24" s="15"/>
      <c r="K24" s="584"/>
      <c r="L24" s="15"/>
    </row>
    <row r="25" spans="1:176" s="151" customFormat="1">
      <c r="A25" s="205" t="s">
        <v>51</v>
      </c>
      <c r="E25" s="6"/>
      <c r="F25" s="17">
        <v>-4294.5600000000004</v>
      </c>
      <c r="G25" s="584"/>
      <c r="H25" s="17">
        <v>1013.8779999999999</v>
      </c>
      <c r="I25" s="584"/>
      <c r="J25" s="17">
        <v>1346.018</v>
      </c>
      <c r="K25" s="584"/>
      <c r="L25" s="17">
        <v>-1934.6640000000025</v>
      </c>
    </row>
    <row r="26" spans="1:176" s="151" customFormat="1">
      <c r="A26" s="587" t="s">
        <v>194</v>
      </c>
      <c r="E26" s="78"/>
      <c r="F26" s="208">
        <v>-2117.2830000000004</v>
      </c>
      <c r="H26" s="208">
        <v>1051.8779999999999</v>
      </c>
      <c r="J26" s="208">
        <v>1516.018</v>
      </c>
      <c r="L26" s="208">
        <v>449.61299999999756</v>
      </c>
    </row>
    <row r="27" spans="1:176" s="151" customFormat="1">
      <c r="A27" s="152"/>
      <c r="E27" s="78"/>
      <c r="F27" s="78"/>
      <c r="H27" s="78"/>
      <c r="J27" s="78"/>
      <c r="L27" s="78"/>
    </row>
    <row r="28" spans="1:176" s="158" customFormat="1" ht="12.75" thickBot="1">
      <c r="A28" s="166" t="s">
        <v>74</v>
      </c>
      <c r="B28" s="159"/>
      <c r="C28" s="159"/>
      <c r="E28" s="78"/>
      <c r="F28" s="359">
        <v>106334.28600000001</v>
      </c>
      <c r="G28" s="154"/>
      <c r="H28" s="359">
        <v>80951.478000000003</v>
      </c>
      <c r="I28" s="151"/>
      <c r="J28" s="359">
        <v>84666.618000000002</v>
      </c>
      <c r="K28" s="151"/>
      <c r="L28" s="359">
        <v>271952.38199999998</v>
      </c>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c r="EX28" s="151"/>
      <c r="EY28" s="151"/>
      <c r="EZ28" s="151"/>
      <c r="FA28" s="151"/>
      <c r="FB28" s="151"/>
      <c r="FC28" s="151"/>
      <c r="FD28" s="151"/>
      <c r="FE28" s="151"/>
      <c r="FF28" s="151"/>
      <c r="FG28" s="151"/>
      <c r="FH28" s="151"/>
      <c r="FI28" s="151"/>
      <c r="FJ28" s="151"/>
      <c r="FK28" s="151"/>
      <c r="FL28" s="151"/>
      <c r="FM28" s="151"/>
    </row>
    <row r="29" spans="1:176" s="89" customFormat="1" ht="12.75" thickTop="1">
      <c r="A29" s="92"/>
      <c r="B29" s="92"/>
      <c r="C29" s="92"/>
      <c r="D29" s="92"/>
      <c r="E29" s="78"/>
      <c r="F29" s="92"/>
      <c r="G29" s="92"/>
      <c r="H29" s="79"/>
      <c r="I29" s="79"/>
      <c r="J29" s="79"/>
      <c r="K29" s="79"/>
      <c r="L29" s="92"/>
      <c r="M29" s="371"/>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row>
    <row r="30" spans="1:176" s="89" customFormat="1">
      <c r="A30" s="92"/>
      <c r="B30" s="92"/>
      <c r="C30" s="92"/>
      <c r="D30" s="92"/>
      <c r="K30" s="79"/>
      <c r="L30" s="122"/>
      <c r="M30" s="371"/>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row>
    <row r="31" spans="1:176" s="4" customFormat="1" hidden="1">
      <c r="B31" s="271"/>
      <c r="C31" s="271"/>
      <c r="D31" s="271"/>
      <c r="E31" s="271"/>
      <c r="F31" s="467">
        <v>0.28600000000733417</v>
      </c>
      <c r="G31" s="13"/>
      <c r="H31" s="467">
        <v>0.47800000000279397</v>
      </c>
      <c r="I31" s="13"/>
      <c r="J31" s="467">
        <v>-0.38199999999778811</v>
      </c>
      <c r="K31" s="13"/>
      <c r="L31" s="467">
        <v>0.38199999998323619</v>
      </c>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row>
    <row r="32" spans="1:176" s="4" customFormat="1">
      <c r="A32" s="370" t="s">
        <v>555</v>
      </c>
      <c r="D32" s="269"/>
      <c r="E32" s="269"/>
      <c r="F32" s="269"/>
      <c r="G32" s="13"/>
    </row>
    <row r="33" spans="1:7" s="4" customFormat="1">
      <c r="D33" s="269"/>
      <c r="E33" s="269"/>
      <c r="F33" s="269"/>
      <c r="G33" s="13"/>
    </row>
    <row r="34" spans="1:7" s="4" customFormat="1">
      <c r="D34" s="269"/>
      <c r="E34" s="269"/>
      <c r="F34" s="269"/>
      <c r="G34" s="13"/>
    </row>
    <row r="35" spans="1:7" s="4" customFormat="1">
      <c r="D35" s="269"/>
      <c r="E35" s="269"/>
      <c r="F35" s="269"/>
      <c r="G35" s="13"/>
    </row>
    <row r="36" spans="1:7" s="4" customFormat="1">
      <c r="D36" s="269"/>
      <c r="E36" s="269"/>
      <c r="F36" s="269"/>
      <c r="G36" s="13"/>
    </row>
    <row r="37" spans="1:7" s="4" customFormat="1">
      <c r="D37" s="269"/>
      <c r="E37" s="269"/>
      <c r="F37" s="269"/>
      <c r="G37" s="13"/>
    </row>
    <row r="38" spans="1:7" s="4" customFormat="1">
      <c r="D38" s="268"/>
      <c r="E38" s="268"/>
      <c r="F38" s="268"/>
      <c r="G38" s="13"/>
    </row>
    <row r="39" spans="1:7" s="4" customFormat="1">
      <c r="A39" s="2" t="s">
        <v>543</v>
      </c>
      <c r="C39" s="2"/>
      <c r="D39" s="268"/>
      <c r="E39" s="268"/>
      <c r="F39" s="268"/>
      <c r="G39" s="13"/>
    </row>
    <row r="40" spans="1:7" s="4" customFormat="1">
      <c r="A40" s="65" t="s">
        <v>544</v>
      </c>
      <c r="B40" s="50"/>
      <c r="C40" s="2"/>
      <c r="E40" s="13"/>
      <c r="G40" s="13"/>
    </row>
    <row r="41" spans="1:7" s="4" customFormat="1">
      <c r="A41" s="50"/>
      <c r="B41" s="50"/>
      <c r="C41" s="50"/>
      <c r="D41" s="3"/>
      <c r="E41" s="3"/>
      <c r="F41" s="3"/>
      <c r="G41" s="26"/>
    </row>
    <row r="42" spans="1:7" s="4" customFormat="1">
      <c r="A42" s="50"/>
      <c r="B42" s="50"/>
      <c r="C42" s="50"/>
      <c r="D42" s="3"/>
      <c r="E42" s="3"/>
      <c r="F42" s="3"/>
      <c r="G42" s="26"/>
    </row>
    <row r="43" spans="1:7" s="4" customFormat="1">
      <c r="A43" s="50"/>
      <c r="B43" s="50"/>
      <c r="C43" s="50"/>
      <c r="D43" s="3"/>
      <c r="E43" s="3"/>
      <c r="F43" s="3"/>
      <c r="G43" s="3"/>
    </row>
    <row r="44" spans="1:7" s="4" customFormat="1">
      <c r="A44" s="272" t="s">
        <v>556</v>
      </c>
      <c r="B44" s="27"/>
      <c r="C44" s="27"/>
      <c r="D44" s="3"/>
      <c r="E44" s="3"/>
      <c r="F44" s="3"/>
      <c r="G44" s="3"/>
    </row>
  </sheetData>
  <customSheetViews>
    <customSheetView guid="{84FBBE83-FF6F-4C76-A58E-D04643F715A5}" showPageBreaks="1" printArea="1" view="pageBreakPreview" topLeftCell="A22">
      <selection activeCell="K26" sqref="K26"/>
      <pageMargins left="0.75" right="0.5" top="0.5" bottom="0.25" header="0.5" footer="0.5"/>
      <printOptions horizontalCentered="1"/>
      <pageSetup paperSize="9" fitToWidth="12" fitToHeight="12" orientation="portrait" r:id="rId1"/>
      <headerFooter alignWithMargins="0">
        <oddFooter>&amp;C5 of 11</oddFooter>
      </headerFooter>
    </customSheetView>
  </customSheetViews>
  <mergeCells count="1">
    <mergeCell ref="F5:L5"/>
  </mergeCells>
  <phoneticPr fontId="0" type="noConversion"/>
  <printOptions horizontalCentered="1"/>
  <pageMargins left="0.75" right="0.5" top="0.5" bottom="0.25" header="0.5" footer="0.5"/>
  <pageSetup paperSize="9" scale="77" fitToWidth="12" fitToHeight="12" orientation="portrait" r:id="rId2"/>
  <headerFooter alignWithMargins="0">
    <oddFooter>&amp;C4 of 9</oddFooter>
  </headerFooter>
</worksheet>
</file>

<file path=xl/worksheets/sheet11.xml><?xml version="1.0" encoding="utf-8"?>
<worksheet xmlns="http://schemas.openxmlformats.org/spreadsheetml/2006/main" xmlns:r="http://schemas.openxmlformats.org/officeDocument/2006/relationships">
  <sheetPr codeName="Sheet21">
    <tabColor indexed="57"/>
  </sheetPr>
  <dimension ref="A1:IM48"/>
  <sheetViews>
    <sheetView view="pageBreakPreview" zoomScale="90" zoomScaleSheetLayoutView="90" workbookViewId="0">
      <selection activeCell="H1" sqref="H1"/>
    </sheetView>
  </sheetViews>
  <sheetFormatPr defaultRowHeight="12"/>
  <cols>
    <col min="1" max="1" width="5.125" style="78" customWidth="1"/>
    <col min="2" max="2" width="3.625" style="79" customWidth="1"/>
    <col min="3" max="3" width="41.625" style="79" customWidth="1"/>
    <col min="4" max="5" width="5.125" style="79" customWidth="1"/>
    <col min="6" max="6" width="14.125" style="79" customWidth="1"/>
    <col min="7" max="7" width="13.75" style="79" customWidth="1"/>
    <col min="8" max="8" width="12.375" style="79" customWidth="1"/>
    <col min="9" max="16384" width="9" style="79"/>
  </cols>
  <sheetData>
    <row r="1" spans="1:8">
      <c r="A1" s="2" t="str">
        <f>[46]BS!$A$1</f>
        <v>NATIONAL INVESTMENT (UNIT) TRUST</v>
      </c>
      <c r="B1" s="85"/>
      <c r="C1" s="85"/>
      <c r="D1" s="85"/>
      <c r="E1" s="85"/>
      <c r="F1" s="86"/>
      <c r="G1" s="86"/>
      <c r="H1" s="347" t="s">
        <v>205</v>
      </c>
    </row>
    <row r="2" spans="1:8">
      <c r="A2" s="87" t="s">
        <v>34</v>
      </c>
      <c r="B2" s="87"/>
      <c r="C2" s="87"/>
      <c r="D2" s="85"/>
      <c r="E2" s="85"/>
      <c r="F2" s="86"/>
      <c r="G2" s="86"/>
      <c r="H2" s="86"/>
    </row>
    <row r="3" spans="1:8" s="78" customFormat="1">
      <c r="A3" s="87" t="s">
        <v>164</v>
      </c>
      <c r="B3" s="87"/>
      <c r="C3" s="87"/>
      <c r="D3" s="85"/>
      <c r="E3" s="85"/>
      <c r="F3" s="88"/>
      <c r="G3" s="88"/>
      <c r="H3" s="88"/>
    </row>
    <row r="4" spans="1:8" s="78" customFormat="1">
      <c r="A4" s="87" t="s">
        <v>193</v>
      </c>
      <c r="B4" s="87"/>
      <c r="C4" s="87"/>
      <c r="D4" s="85"/>
      <c r="E4" s="85"/>
      <c r="F4" s="88" t="s">
        <v>202</v>
      </c>
      <c r="G4" s="88" t="s">
        <v>203</v>
      </c>
      <c r="H4" s="88"/>
    </row>
    <row r="5" spans="1:8" ht="37.5" customHeight="1">
      <c r="A5" s="88"/>
      <c r="B5" s="88"/>
      <c r="C5" s="88"/>
      <c r="D5" s="187"/>
      <c r="E5" s="187"/>
      <c r="F5" s="233" t="s">
        <v>204</v>
      </c>
      <c r="G5" s="233" t="s">
        <v>206</v>
      </c>
      <c r="H5" s="233" t="s">
        <v>35</v>
      </c>
    </row>
    <row r="6" spans="1:8">
      <c r="A6" s="88"/>
      <c r="B6" s="88"/>
      <c r="C6" s="88"/>
      <c r="D6" s="90"/>
      <c r="E6" s="90"/>
      <c r="F6" s="188"/>
      <c r="G6" s="188"/>
      <c r="H6" s="188"/>
    </row>
    <row r="7" spans="1:8">
      <c r="A7" s="88"/>
      <c r="B7" s="88"/>
      <c r="C7" s="88"/>
      <c r="D7" s="90"/>
      <c r="E7" s="90"/>
      <c r="F7" s="189"/>
      <c r="G7" s="189"/>
      <c r="H7" s="32"/>
    </row>
    <row r="8" spans="1:8">
      <c r="A8" s="88"/>
      <c r="B8" s="88"/>
      <c r="C8" s="88"/>
      <c r="D8" s="90"/>
      <c r="E8" s="90"/>
      <c r="F8" s="189"/>
      <c r="G8" s="189"/>
      <c r="H8" s="189"/>
    </row>
    <row r="9" spans="1:8">
      <c r="A9" s="88" t="s">
        <v>41</v>
      </c>
      <c r="B9" s="88"/>
      <c r="C9" s="88"/>
      <c r="D9" s="90"/>
      <c r="E9" s="78"/>
      <c r="F9" s="90">
        <f>UHF!L8</f>
        <v>255324</v>
      </c>
      <c r="G9" s="90">
        <v>41487495</v>
      </c>
      <c r="H9" s="90">
        <f>G36</f>
        <v>40776217</v>
      </c>
    </row>
    <row r="10" spans="1:8" s="78" customFormat="1">
      <c r="A10" s="88"/>
      <c r="B10" s="88"/>
      <c r="C10" s="88"/>
      <c r="D10" s="90"/>
      <c r="F10" s="190"/>
      <c r="G10" s="190"/>
      <c r="H10" s="190"/>
    </row>
    <row r="11" spans="1:8" s="78" customFormat="1">
      <c r="A11" s="191" t="s">
        <v>42</v>
      </c>
      <c r="B11" s="88"/>
      <c r="C11" s="88"/>
      <c r="D11" s="90"/>
      <c r="F11" s="192">
        <f>UHF!L10</f>
        <v>19206.769</v>
      </c>
      <c r="G11" s="192">
        <v>1888016</v>
      </c>
      <c r="H11" s="192">
        <f>F11-G11</f>
        <v>-1868809.2309999999</v>
      </c>
    </row>
    <row r="12" spans="1:8" s="78" customFormat="1">
      <c r="A12" s="191"/>
      <c r="B12" s="88"/>
      <c r="C12" s="88"/>
      <c r="D12" s="90"/>
      <c r="F12" s="193"/>
      <c r="G12" s="193"/>
      <c r="H12" s="193"/>
    </row>
    <row r="13" spans="1:8" s="78" customFormat="1">
      <c r="A13" s="191" t="s">
        <v>111</v>
      </c>
      <c r="B13" s="88"/>
      <c r="C13" s="88"/>
      <c r="D13" s="90"/>
      <c r="F13" s="194">
        <f>UHF!L12</f>
        <v>-3028</v>
      </c>
      <c r="G13" s="194">
        <v>-7763848</v>
      </c>
      <c r="H13" s="194">
        <f>F13-G13</f>
        <v>7760820</v>
      </c>
    </row>
    <row r="14" spans="1:8" s="78" customFormat="1">
      <c r="B14" s="88"/>
      <c r="C14" s="88"/>
      <c r="D14" s="195"/>
      <c r="F14" s="91">
        <f>SUM(F11:F13)</f>
        <v>16178.769</v>
      </c>
      <c r="G14" s="91">
        <f>SUM(G11:G13)</f>
        <v>-5875832</v>
      </c>
      <c r="H14" s="91">
        <f>SUM(H11:H13)</f>
        <v>5892010.7690000003</v>
      </c>
    </row>
    <row r="15" spans="1:8" s="78" customFormat="1">
      <c r="B15" s="88"/>
      <c r="C15" s="88"/>
      <c r="D15" s="195"/>
    </row>
    <row r="16" spans="1:8" s="78" customFormat="1">
      <c r="A16" s="88" t="s">
        <v>43</v>
      </c>
      <c r="C16" s="88"/>
      <c r="D16" s="195"/>
      <c r="F16" s="196" t="e">
        <f>UHF!#REF!</f>
        <v>#REF!</v>
      </c>
      <c r="G16" s="196">
        <v>1377960</v>
      </c>
      <c r="H16" s="196" t="e">
        <f>F16-G16</f>
        <v>#REF!</v>
      </c>
    </row>
    <row r="17" spans="1:247" s="78" customFormat="1">
      <c r="A17" s="197"/>
      <c r="C17" s="88"/>
      <c r="D17" s="195"/>
      <c r="F17" s="331" t="e">
        <f>+F16+F14+F9</f>
        <v>#REF!</v>
      </c>
      <c r="G17" s="331">
        <f>G9+G14+G16</f>
        <v>36989623</v>
      </c>
      <c r="H17" s="331" t="e">
        <f>+H16+H14+H9</f>
        <v>#REF!</v>
      </c>
    </row>
    <row r="18" spans="1:247" s="78" customFormat="1">
      <c r="D18" s="198"/>
    </row>
    <row r="19" spans="1:247">
      <c r="A19" s="78" t="s">
        <v>44</v>
      </c>
      <c r="B19" s="78"/>
      <c r="C19" s="78"/>
      <c r="D19" s="198"/>
      <c r="E19" s="78"/>
      <c r="F19" s="198"/>
      <c r="G19" s="198"/>
      <c r="H19" s="198"/>
      <c r="IM19" s="199" t="s">
        <v>45</v>
      </c>
    </row>
    <row r="20" spans="1:247">
      <c r="A20" s="197" t="s">
        <v>46</v>
      </c>
      <c r="B20" s="78"/>
      <c r="C20" s="78"/>
      <c r="D20" s="198"/>
      <c r="E20" s="78"/>
      <c r="F20" s="198" t="e">
        <f>UHF!#REF!</f>
        <v>#REF!</v>
      </c>
      <c r="G20" s="198">
        <v>3076302</v>
      </c>
      <c r="H20" s="198" t="e">
        <f>F20-G20</f>
        <v>#REF!</v>
      </c>
      <c r="IM20" s="199" t="s">
        <v>45</v>
      </c>
    </row>
    <row r="21" spans="1:247">
      <c r="B21" s="78"/>
      <c r="C21" s="78"/>
      <c r="D21" s="198"/>
      <c r="E21" s="78"/>
      <c r="F21" s="198"/>
      <c r="G21" s="198"/>
      <c r="H21" s="198"/>
      <c r="IM21" s="199" t="s">
        <v>45</v>
      </c>
    </row>
    <row r="22" spans="1:247">
      <c r="A22" s="200" t="s">
        <v>47</v>
      </c>
      <c r="B22" s="88"/>
      <c r="C22" s="88"/>
      <c r="D22" s="91"/>
      <c r="F22" s="201"/>
      <c r="G22" s="201"/>
      <c r="H22" s="201"/>
    </row>
    <row r="23" spans="1:247">
      <c r="A23" s="202" t="s">
        <v>48</v>
      </c>
      <c r="B23" s="88"/>
      <c r="C23" s="88"/>
      <c r="D23" s="91"/>
      <c r="F23" s="201">
        <f>UHF!L17</f>
        <v>2385.277</v>
      </c>
      <c r="G23" s="201">
        <v>6472300</v>
      </c>
      <c r="H23" s="201">
        <f>F23-G23</f>
        <v>-6469914.7230000002</v>
      </c>
    </row>
    <row r="24" spans="1:247" s="89" customFormat="1">
      <c r="B24" s="88"/>
      <c r="C24" s="88"/>
      <c r="D24" s="91"/>
      <c r="F24" s="201"/>
      <c r="G24" s="201"/>
      <c r="H24" s="201"/>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row>
    <row r="25" spans="1:247">
      <c r="A25" s="54" t="s">
        <v>154</v>
      </c>
      <c r="F25" s="12">
        <f>UHF!L19</f>
        <v>0</v>
      </c>
      <c r="G25" s="12">
        <v>896642</v>
      </c>
      <c r="H25" s="203">
        <f>ROUND(F25-G25,0)</f>
        <v>-896642</v>
      </c>
    </row>
    <row r="26" spans="1:247">
      <c r="F26" s="15"/>
      <c r="G26" s="15"/>
      <c r="H26" s="204"/>
    </row>
    <row r="27" spans="1:247">
      <c r="A27" s="78" t="s">
        <v>49</v>
      </c>
      <c r="F27" s="15"/>
      <c r="G27" s="15"/>
      <c r="H27" s="204"/>
    </row>
    <row r="28" spans="1:247">
      <c r="A28" s="197" t="s">
        <v>50</v>
      </c>
      <c r="F28" s="15">
        <f>UHF!L23</f>
        <v>0</v>
      </c>
      <c r="G28" s="15">
        <v>257237</v>
      </c>
      <c r="H28" s="204">
        <f>ROUND(F28-G28,0)</f>
        <v>-257237</v>
      </c>
    </row>
    <row r="29" spans="1:247">
      <c r="A29" s="197"/>
      <c r="F29" s="15"/>
      <c r="G29" s="15"/>
      <c r="H29" s="204"/>
    </row>
    <row r="30" spans="1:247">
      <c r="A30" s="78" t="s">
        <v>51</v>
      </c>
      <c r="F30" s="15">
        <f>UHF!L25</f>
        <v>-1934.6640000000025</v>
      </c>
      <c r="G30" s="15">
        <v>-2118169</v>
      </c>
      <c r="H30" s="204">
        <f>ROUND(F30-G30,0)</f>
        <v>2116234</v>
      </c>
    </row>
    <row r="31" spans="1:247">
      <c r="F31" s="15"/>
      <c r="G31" s="15"/>
      <c r="H31" s="204"/>
    </row>
    <row r="32" spans="1:247">
      <c r="A32" s="205" t="s">
        <v>52</v>
      </c>
      <c r="F32" s="15"/>
      <c r="G32" s="15"/>
      <c r="H32" s="204"/>
    </row>
    <row r="33" spans="1:247">
      <c r="A33" s="23"/>
      <c r="F33" s="206" t="e">
        <f>UHF!#REF!</f>
        <v>#REF!</v>
      </c>
      <c r="G33" s="206">
        <v>-4797718</v>
      </c>
      <c r="H33" s="207" t="e">
        <f>F33-G33</f>
        <v>#REF!</v>
      </c>
    </row>
    <row r="34" spans="1:247">
      <c r="F34" s="208" t="e">
        <f>SUM(F25:F33)</f>
        <v>#REF!</v>
      </c>
      <c r="G34" s="208">
        <f>SUM(G25:G33)</f>
        <v>-5762008</v>
      </c>
      <c r="H34" s="93" t="e">
        <f>ROUND(SUM(H25:H33),0)</f>
        <v>#REF!</v>
      </c>
    </row>
    <row r="35" spans="1:247">
      <c r="F35" s="78"/>
      <c r="G35" s="78"/>
    </row>
    <row r="36" spans="1:247" s="89" customFormat="1" ht="12.75" thickBot="1">
      <c r="A36" s="209" t="s">
        <v>74</v>
      </c>
      <c r="B36" s="85"/>
      <c r="C36" s="85"/>
      <c r="D36" s="91"/>
      <c r="F36" s="332" t="e">
        <f>F17+F20+F23+F34</f>
        <v>#REF!</v>
      </c>
      <c r="G36" s="332">
        <f>ROUNDUP(G17+G20+G23+G34,0)</f>
        <v>40776217</v>
      </c>
      <c r="H36" s="332" t="e">
        <f>ROUND(H17+H20+H23+H34,0)</f>
        <v>#REF!</v>
      </c>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row>
    <row r="37" spans="1:247" s="89" customFormat="1" ht="12.75" thickTop="1">
      <c r="A37" s="92"/>
      <c r="B37" s="92"/>
      <c r="C37" s="92"/>
      <c r="D37" s="92"/>
      <c r="E37" s="92"/>
      <c r="F37" s="92"/>
      <c r="G37" s="92"/>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row>
    <row r="38" spans="1:247" s="89" customFormat="1">
      <c r="A38" s="92"/>
      <c r="B38" s="92"/>
      <c r="C38" s="92"/>
      <c r="D38" s="92"/>
      <c r="E38" s="92"/>
      <c r="F38" s="122"/>
      <c r="G38" s="122"/>
      <c r="H38" s="122"/>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c r="ID38" s="79"/>
      <c r="IE38" s="79"/>
      <c r="IF38" s="79"/>
    </row>
    <row r="39" spans="1:247" s="4" customFormat="1">
      <c r="E39" s="5"/>
      <c r="F39" s="13"/>
      <c r="G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row>
    <row r="40" spans="1:247" s="4" customFormat="1">
      <c r="E40" s="5"/>
      <c r="F40" s="6"/>
      <c r="G40" s="6"/>
      <c r="H40" s="90"/>
      <c r="I40" s="79"/>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row>
    <row r="41" spans="1:247" s="4" customFormat="1">
      <c r="E41" s="5"/>
      <c r="F41" s="13"/>
      <c r="G41" s="13"/>
      <c r="H41" s="90"/>
      <c r="I41" s="79"/>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row>
    <row r="42" spans="1:247" s="25" customFormat="1">
      <c r="E42" s="35"/>
      <c r="F42" s="6"/>
      <c r="G42" s="6"/>
      <c r="H42" s="13"/>
      <c r="I42" s="13"/>
    </row>
    <row r="43" spans="1:247" s="25" customFormat="1">
      <c r="E43" s="35"/>
      <c r="F43" s="6"/>
      <c r="G43" s="6"/>
      <c r="H43" s="13"/>
      <c r="I43" s="13"/>
    </row>
    <row r="44" spans="1:247" s="25" customFormat="1">
      <c r="E44" s="35"/>
      <c r="F44" s="6"/>
      <c r="G44" s="6"/>
      <c r="H44" s="38"/>
    </row>
    <row r="45" spans="1:247" s="25" customFormat="1">
      <c r="E45" s="35"/>
      <c r="F45" s="6"/>
      <c r="G45" s="6"/>
      <c r="H45" s="38"/>
    </row>
    <row r="46" spans="1:247" s="25" customFormat="1">
      <c r="E46" s="35"/>
      <c r="F46" s="6"/>
      <c r="G46" s="6"/>
      <c r="H46" s="38"/>
    </row>
    <row r="47" spans="1:247">
      <c r="H47" s="38"/>
      <c r="I47" s="25"/>
    </row>
    <row r="48" spans="1:247">
      <c r="H48" s="38"/>
      <c r="I48" s="25"/>
    </row>
  </sheetData>
  <customSheetViews>
    <customSheetView guid="{84FBBE83-FF6F-4C76-A58E-D04643F715A5}" scale="90" showPageBreaks="1" printArea="1" view="pageBreakPreview">
      <selection activeCell="H1" sqref="H1"/>
      <pageMargins left="0.75" right="0.5" top="0.5" bottom="0.25" header="0.5" footer="0.5"/>
      <printOptions horizontalCentered="1"/>
      <pageSetup paperSize="9" scale="78" orientation="portrait" horizontalDpi="1200" verticalDpi="1200" r:id="rId1"/>
      <headerFooter alignWithMargins="0"/>
    </customSheetView>
  </customSheetViews>
  <phoneticPr fontId="0" type="noConversion"/>
  <printOptions horizontalCentered="1"/>
  <pageMargins left="0.75" right="0.5" top="0.5" bottom="0.25" header="0.5" footer="0.5"/>
  <pageSetup paperSize="9" scale="78" orientation="portrait" horizontalDpi="1200" verticalDpi="1200" r:id="rId2"/>
  <headerFooter alignWithMargins="0"/>
</worksheet>
</file>

<file path=xl/worksheets/sheet12.xml><?xml version="1.0" encoding="utf-8"?>
<worksheet xmlns="http://schemas.openxmlformats.org/spreadsheetml/2006/main" xmlns:r="http://schemas.openxmlformats.org/officeDocument/2006/relationships">
  <sheetPr codeName="Sheet18" enableFormatConditionsCalculation="0">
    <tabColor indexed="14"/>
  </sheetPr>
  <dimension ref="A1:L323"/>
  <sheetViews>
    <sheetView view="pageBreakPreview" topLeftCell="A34" zoomScaleSheetLayoutView="100" workbookViewId="0">
      <selection activeCell="C49" sqref="C49"/>
    </sheetView>
  </sheetViews>
  <sheetFormatPr defaultRowHeight="12"/>
  <cols>
    <col min="1" max="1" width="5.125" style="4" customWidth="1"/>
    <col min="2" max="2" width="3.625" style="4" customWidth="1"/>
    <col min="3" max="3" width="39.625" style="4" customWidth="1"/>
    <col min="4" max="4" width="0.875" style="4" customWidth="1"/>
    <col min="5" max="5" width="10.125" style="4" customWidth="1"/>
    <col min="6" max="6" width="0.75" style="9" customWidth="1"/>
    <col min="7" max="7" width="10.125" style="367" customWidth="1"/>
    <col min="8" max="8" width="0.375" style="367" customWidth="1"/>
    <col min="9" max="9" width="10.125" style="367" customWidth="1"/>
    <col min="10" max="10" width="0.375" style="367" customWidth="1"/>
    <col min="11" max="11" width="10.125" style="9" customWidth="1"/>
    <col min="12" max="12" width="0.375" style="9" customWidth="1"/>
    <col min="13" max="16384" width="9" style="25"/>
  </cols>
  <sheetData>
    <row r="1" spans="1:12">
      <c r="A1" s="2" t="s">
        <v>255</v>
      </c>
      <c r="B1" s="2"/>
      <c r="C1" s="2"/>
      <c r="D1" s="2"/>
      <c r="E1" s="2"/>
      <c r="F1" s="2"/>
      <c r="G1" s="2"/>
      <c r="H1" s="2"/>
      <c r="I1" s="2"/>
      <c r="J1" s="2"/>
      <c r="K1" s="2"/>
      <c r="L1" s="2"/>
    </row>
    <row r="2" spans="1:12">
      <c r="A2" s="434" t="s">
        <v>242</v>
      </c>
      <c r="B2" s="2"/>
      <c r="C2" s="2"/>
      <c r="D2" s="2"/>
      <c r="E2" s="2"/>
      <c r="F2" s="2"/>
      <c r="G2" s="2"/>
      <c r="H2" s="2"/>
      <c r="I2" s="2"/>
      <c r="J2" s="2"/>
      <c r="K2" s="2"/>
      <c r="L2" s="2"/>
    </row>
    <row r="3" spans="1:12">
      <c r="A3" s="660" t="s">
        <v>452</v>
      </c>
      <c r="B3" s="2"/>
      <c r="C3" s="2"/>
      <c r="D3" s="2"/>
      <c r="E3" s="2"/>
      <c r="F3" s="2"/>
      <c r="G3" s="2"/>
      <c r="H3" s="2"/>
      <c r="I3" s="2"/>
      <c r="J3" s="2"/>
      <c r="K3" s="2"/>
      <c r="L3" s="2"/>
    </row>
    <row r="4" spans="1:12">
      <c r="A4" s="2"/>
      <c r="B4" s="2"/>
      <c r="C4" s="2"/>
      <c r="D4" s="2"/>
      <c r="E4" s="773" t="s">
        <v>456</v>
      </c>
      <c r="F4" s="773"/>
      <c r="G4" s="773"/>
      <c r="H4" s="773"/>
      <c r="I4" s="773"/>
      <c r="J4" s="773"/>
      <c r="K4" s="773"/>
      <c r="L4" s="2"/>
    </row>
    <row r="5" spans="1:12" s="129" customFormat="1" ht="36">
      <c r="A5" s="26"/>
      <c r="B5" s="26"/>
      <c r="C5" s="26"/>
      <c r="D5" s="33"/>
      <c r="E5" s="463" t="s">
        <v>305</v>
      </c>
      <c r="F5" s="4"/>
      <c r="G5" s="463" t="s">
        <v>306</v>
      </c>
      <c r="H5" s="4"/>
      <c r="I5" s="476" t="s">
        <v>307</v>
      </c>
      <c r="J5" s="506"/>
      <c r="K5" s="476" t="s">
        <v>213</v>
      </c>
      <c r="L5" s="131"/>
    </row>
    <row r="6" spans="1:12" s="129" customFormat="1">
      <c r="A6" s="26"/>
      <c r="B6" s="26"/>
      <c r="C6" s="26"/>
      <c r="D6" s="378"/>
      <c r="E6" s="774" t="s">
        <v>367</v>
      </c>
      <c r="F6" s="775"/>
      <c r="G6" s="775"/>
      <c r="H6" s="775"/>
      <c r="I6" s="775"/>
      <c r="J6" s="775"/>
      <c r="K6" s="775"/>
      <c r="L6" s="131"/>
    </row>
    <row r="7" spans="1:12" s="129" customFormat="1">
      <c r="A7" s="20" t="s">
        <v>96</v>
      </c>
      <c r="B7" s="25"/>
      <c r="C7" s="25"/>
      <c r="D7" s="25"/>
      <c r="E7" s="772" t="s">
        <v>368</v>
      </c>
      <c r="F7" s="772"/>
      <c r="G7" s="772"/>
      <c r="H7" s="772"/>
      <c r="I7" s="772"/>
      <c r="J7" s="772"/>
      <c r="K7" s="772"/>
      <c r="L7" s="351"/>
    </row>
    <row r="8" spans="1:12" s="129" customFormat="1" ht="8.1" customHeight="1">
      <c r="A8" s="23"/>
      <c r="B8" s="4"/>
      <c r="C8" s="4"/>
      <c r="D8" s="9"/>
      <c r="E8" s="6"/>
      <c r="F8" s="9"/>
      <c r="G8" s="367"/>
      <c r="H8" s="367"/>
      <c r="I8" s="367"/>
      <c r="J8" s="367"/>
      <c r="K8" s="9"/>
      <c r="L8" s="160"/>
    </row>
    <row r="9" spans="1:12" s="129" customFormat="1">
      <c r="A9" s="205" t="s">
        <v>379</v>
      </c>
      <c r="B9" s="4"/>
      <c r="C9" s="4"/>
      <c r="D9" s="9"/>
      <c r="E9" s="6">
        <v>-4294.5600000000004</v>
      </c>
      <c r="F9" s="9"/>
      <c r="G9" s="6">
        <v>1013.8779999999999</v>
      </c>
      <c r="H9" s="367"/>
      <c r="I9" s="6">
        <v>1346.018</v>
      </c>
      <c r="J9" s="367"/>
      <c r="K9" s="6">
        <v>-1934.6640000000025</v>
      </c>
      <c r="L9" s="133"/>
    </row>
    <row r="10" spans="1:12" s="129" customFormat="1">
      <c r="A10" s="224" t="s">
        <v>14</v>
      </c>
      <c r="B10" s="297"/>
      <c r="C10" s="297"/>
      <c r="D10" s="297"/>
      <c r="E10" s="6"/>
      <c r="F10" s="360"/>
      <c r="G10" s="360"/>
      <c r="H10" s="360"/>
      <c r="I10" s="360"/>
      <c r="J10" s="360"/>
      <c r="K10" s="13"/>
      <c r="L10" s="135"/>
    </row>
    <row r="11" spans="1:12" s="129" customFormat="1">
      <c r="A11" s="220"/>
      <c r="B11" s="47"/>
      <c r="C11" s="47"/>
      <c r="D11" s="361"/>
      <c r="E11" s="12"/>
      <c r="F11" s="360"/>
      <c r="G11" s="12"/>
      <c r="H11" s="360"/>
      <c r="I11" s="12"/>
      <c r="J11" s="360"/>
      <c r="K11" s="12"/>
      <c r="L11" s="135"/>
    </row>
    <row r="12" spans="1:12" s="129" customFormat="1">
      <c r="A12" s="225" t="s">
        <v>63</v>
      </c>
      <c r="B12" s="297"/>
      <c r="C12" s="297"/>
      <c r="D12" s="43"/>
      <c r="E12" s="15">
        <v>-68644.451000000001</v>
      </c>
      <c r="F12" s="29"/>
      <c r="G12" s="15">
        <v>-70519</v>
      </c>
      <c r="H12" s="29"/>
      <c r="I12" s="15">
        <v>-16000</v>
      </c>
      <c r="J12" s="29"/>
      <c r="K12" s="15">
        <v>-155163.451</v>
      </c>
      <c r="L12" s="135"/>
    </row>
    <row r="13" spans="1:12" s="129" customFormat="1">
      <c r="A13" s="225" t="s">
        <v>165</v>
      </c>
      <c r="B13" s="297"/>
      <c r="C13" s="297"/>
      <c r="D13" s="43"/>
      <c r="E13" s="15">
        <v>-1773.8710000000001</v>
      </c>
      <c r="F13" s="29"/>
      <c r="G13" s="15">
        <v>-1083.8820000000001</v>
      </c>
      <c r="H13" s="29"/>
      <c r="I13" s="15">
        <v>-578.99800000000005</v>
      </c>
      <c r="J13" s="29"/>
      <c r="K13" s="15">
        <v>-3436.7510000000002</v>
      </c>
      <c r="L13" s="135"/>
    </row>
    <row r="14" spans="1:12" s="129" customFormat="1">
      <c r="A14" s="225"/>
      <c r="B14" s="297"/>
      <c r="C14" s="297"/>
      <c r="D14" s="43"/>
      <c r="E14" s="15">
        <v>20.942</v>
      </c>
      <c r="F14" s="29"/>
      <c r="G14" s="15">
        <v>20.942</v>
      </c>
      <c r="H14" s="29"/>
      <c r="I14" s="15">
        <v>19.942</v>
      </c>
      <c r="J14" s="29"/>
      <c r="K14" s="15">
        <v>61.826000000000001</v>
      </c>
      <c r="L14" s="135"/>
    </row>
    <row r="15" spans="1:12" s="129" customFormat="1">
      <c r="A15" s="225" t="s">
        <v>122</v>
      </c>
      <c r="B15" s="297"/>
      <c r="C15" s="297"/>
      <c r="D15" s="43"/>
      <c r="E15" s="15">
        <v>10000</v>
      </c>
      <c r="F15" s="29"/>
      <c r="G15" s="15">
        <v>0</v>
      </c>
      <c r="H15" s="29"/>
      <c r="I15" s="15">
        <v>0</v>
      </c>
      <c r="J15" s="29"/>
      <c r="K15" s="17">
        <v>10000</v>
      </c>
      <c r="L15" s="135"/>
    </row>
    <row r="16" spans="1:12" s="129" customFormat="1">
      <c r="A16" s="25"/>
      <c r="B16" s="47"/>
      <c r="C16" s="47"/>
      <c r="D16" s="361"/>
      <c r="E16" s="95">
        <v>-60397.380000000005</v>
      </c>
      <c r="F16" s="360"/>
      <c r="G16" s="95">
        <v>-71581.94</v>
      </c>
      <c r="H16" s="360"/>
      <c r="I16" s="95">
        <v>-16559.056</v>
      </c>
      <c r="J16" s="360"/>
      <c r="K16" s="95">
        <v>-148538.37599999999</v>
      </c>
      <c r="L16" s="135"/>
    </row>
    <row r="17" spans="1:12" s="129" customFormat="1">
      <c r="A17" s="224" t="s">
        <v>84</v>
      </c>
      <c r="B17" s="47"/>
      <c r="C17" s="47"/>
      <c r="D17" s="361"/>
      <c r="E17" s="13"/>
      <c r="F17" s="360"/>
      <c r="G17" s="13"/>
      <c r="H17" s="360"/>
      <c r="I17" s="13"/>
      <c r="J17" s="360"/>
      <c r="K17" s="13"/>
      <c r="L17" s="135"/>
    </row>
    <row r="18" spans="1:12" s="129" customFormat="1">
      <c r="A18" s="225" t="s">
        <v>151</v>
      </c>
      <c r="B18" s="47"/>
      <c r="C18" s="47"/>
      <c r="D18" s="361"/>
      <c r="E18" s="13"/>
      <c r="F18" s="360"/>
      <c r="G18" s="13"/>
      <c r="H18" s="360"/>
      <c r="I18" s="13"/>
      <c r="J18" s="360"/>
      <c r="K18" s="13"/>
      <c r="L18" s="135"/>
    </row>
    <row r="19" spans="1:12" s="129" customFormat="1">
      <c r="A19" s="362" t="s">
        <v>418</v>
      </c>
      <c r="B19" s="47"/>
      <c r="C19" s="47"/>
      <c r="D19" s="361"/>
      <c r="E19" s="12">
        <v>109.98399999999992</v>
      </c>
      <c r="F19" s="360"/>
      <c r="G19" s="12">
        <v>69.789999999999964</v>
      </c>
      <c r="H19" s="360"/>
      <c r="I19" s="12">
        <v>78.742999999999995</v>
      </c>
      <c r="J19" s="360"/>
      <c r="K19" s="12">
        <v>258.51699999999988</v>
      </c>
      <c r="L19" s="135"/>
    </row>
    <row r="20" spans="1:12" s="129" customFormat="1">
      <c r="A20" s="225" t="s">
        <v>237</v>
      </c>
      <c r="B20" s="47"/>
      <c r="C20" s="47"/>
      <c r="D20" s="361"/>
      <c r="E20" s="15">
        <v>9.1259999999999994</v>
      </c>
      <c r="F20" s="360"/>
      <c r="G20" s="15">
        <v>6.66</v>
      </c>
      <c r="H20" s="360"/>
      <c r="I20" s="15">
        <v>7.8520000000000003</v>
      </c>
      <c r="J20" s="360"/>
      <c r="K20" s="15">
        <v>23.637999999999998</v>
      </c>
      <c r="L20" s="135"/>
    </row>
    <row r="21" spans="1:12" s="129" customFormat="1">
      <c r="A21" s="225" t="s">
        <v>152</v>
      </c>
      <c r="B21" s="47"/>
      <c r="C21" s="47"/>
      <c r="D21" s="361"/>
      <c r="E21" s="15"/>
      <c r="F21" s="360"/>
      <c r="G21" s="15"/>
      <c r="H21" s="360"/>
      <c r="I21" s="15"/>
      <c r="J21" s="360"/>
      <c r="K21" s="15">
        <v>0</v>
      </c>
      <c r="L21" s="135"/>
    </row>
    <row r="22" spans="1:12" s="129" customFormat="1">
      <c r="A22" s="220" t="s">
        <v>153</v>
      </c>
      <c r="B22" s="47"/>
      <c r="C22" s="47"/>
      <c r="D22" s="361"/>
      <c r="E22" s="15">
        <v>24.245999999999999</v>
      </c>
      <c r="F22" s="360"/>
      <c r="G22" s="15">
        <v>18.574000000000002</v>
      </c>
      <c r="H22" s="360"/>
      <c r="I22" s="15">
        <v>19.385999999999999</v>
      </c>
      <c r="J22" s="360"/>
      <c r="K22" s="15">
        <v>62.206000000000003</v>
      </c>
      <c r="L22" s="135"/>
    </row>
    <row r="23" spans="1:12" s="129" customFormat="1">
      <c r="A23" s="225" t="s">
        <v>200</v>
      </c>
      <c r="B23" s="47"/>
      <c r="C23" s="47"/>
      <c r="D23" s="361"/>
      <c r="E23" s="15">
        <v>-8364</v>
      </c>
      <c r="F23" s="360"/>
      <c r="G23" s="15">
        <v>0</v>
      </c>
      <c r="H23" s="360"/>
      <c r="I23" s="15">
        <v>0</v>
      </c>
      <c r="J23" s="360"/>
      <c r="K23" s="15">
        <v>-8364</v>
      </c>
      <c r="L23" s="135"/>
    </row>
    <row r="24" spans="1:12" s="129" customFormat="1">
      <c r="A24" s="225" t="s">
        <v>91</v>
      </c>
      <c r="B24" s="47"/>
      <c r="C24" s="47"/>
      <c r="D24" s="361"/>
      <c r="E24" s="17">
        <v>346</v>
      </c>
      <c r="F24" s="360"/>
      <c r="G24" s="17">
        <v>156</v>
      </c>
      <c r="H24" s="360"/>
      <c r="I24" s="17">
        <v>155</v>
      </c>
      <c r="J24" s="360"/>
      <c r="K24" s="17">
        <v>657</v>
      </c>
      <c r="L24" s="135"/>
    </row>
    <row r="25" spans="1:12" s="129" customFormat="1">
      <c r="A25" s="224"/>
      <c r="B25" s="47"/>
      <c r="C25" s="47"/>
      <c r="D25" s="361"/>
      <c r="E25" s="13">
        <v>-7875</v>
      </c>
      <c r="F25" s="360"/>
      <c r="G25" s="13">
        <v>251</v>
      </c>
      <c r="H25" s="360"/>
      <c r="I25" s="13">
        <v>261</v>
      </c>
      <c r="J25" s="360"/>
      <c r="K25" s="13">
        <v>-7363</v>
      </c>
      <c r="L25" s="135"/>
    </row>
    <row r="26" spans="1:12" s="129" customFormat="1">
      <c r="A26" s="227" t="s">
        <v>545</v>
      </c>
      <c r="B26" s="47"/>
      <c r="C26" s="47"/>
      <c r="D26" s="361"/>
      <c r="E26" s="95">
        <v>-72567</v>
      </c>
      <c r="F26" s="29"/>
      <c r="G26" s="95">
        <v>-70317</v>
      </c>
      <c r="H26" s="29"/>
      <c r="I26" s="95">
        <v>-14952</v>
      </c>
      <c r="J26" s="29"/>
      <c r="K26" s="95">
        <v>-157836</v>
      </c>
      <c r="L26" s="135"/>
    </row>
    <row r="27" spans="1:12" s="129" customFormat="1" ht="3.75" customHeight="1">
      <c r="A27" s="227"/>
      <c r="B27" s="47"/>
      <c r="C27" s="47"/>
      <c r="D27" s="361"/>
      <c r="E27" s="13"/>
      <c r="F27" s="29"/>
      <c r="G27" s="13"/>
      <c r="H27" s="29"/>
      <c r="I27" s="13"/>
      <c r="J27" s="29"/>
      <c r="K27" s="13"/>
      <c r="L27" s="135"/>
    </row>
    <row r="28" spans="1:12" s="129" customFormat="1">
      <c r="A28" s="227" t="s">
        <v>131</v>
      </c>
      <c r="B28" s="47"/>
      <c r="C28" s="47"/>
      <c r="D28" s="361"/>
      <c r="E28" s="13"/>
      <c r="F28" s="29"/>
      <c r="G28" s="13"/>
      <c r="H28" s="29"/>
      <c r="I28" s="13"/>
      <c r="J28" s="29"/>
      <c r="K28" s="13"/>
      <c r="L28" s="135"/>
    </row>
    <row r="29" spans="1:12" s="129" customFormat="1" ht="5.25" customHeight="1">
      <c r="A29" s="227"/>
      <c r="B29" s="47"/>
      <c r="C29" s="47"/>
      <c r="D29" s="361"/>
      <c r="E29" s="13"/>
      <c r="F29" s="29"/>
      <c r="G29" s="13"/>
      <c r="H29" s="29"/>
      <c r="I29" s="13"/>
      <c r="J29" s="29"/>
      <c r="K29" s="13"/>
      <c r="L29" s="135"/>
    </row>
    <row r="30" spans="1:12" s="129" customFormat="1">
      <c r="A30" s="78" t="s">
        <v>196</v>
      </c>
      <c r="B30" s="47"/>
      <c r="C30" s="47"/>
      <c r="D30" s="361"/>
      <c r="E30" s="215">
        <v>7542.5689999999995</v>
      </c>
      <c r="F30" s="29"/>
      <c r="G30" s="215">
        <v>4108.6000000000004</v>
      </c>
      <c r="H30" s="29"/>
      <c r="I30" s="215">
        <v>4526.6000000000004</v>
      </c>
      <c r="J30" s="29"/>
      <c r="K30" s="215">
        <v>16177.769</v>
      </c>
      <c r="L30" s="135"/>
    </row>
    <row r="31" spans="1:12" s="129" customFormat="1">
      <c r="A31" s="228" t="s">
        <v>547</v>
      </c>
      <c r="B31" s="47"/>
      <c r="C31" s="47"/>
      <c r="D31" s="361"/>
      <c r="E31" s="13">
        <v>7543</v>
      </c>
      <c r="F31" s="29"/>
      <c r="G31" s="13">
        <v>4109</v>
      </c>
      <c r="H31" s="29"/>
      <c r="I31" s="13">
        <v>4527</v>
      </c>
      <c r="J31" s="29"/>
      <c r="K31" s="13">
        <v>16178</v>
      </c>
      <c r="L31" s="135"/>
    </row>
    <row r="32" spans="1:12" s="129" customFormat="1" ht="8.1" customHeight="1">
      <c r="A32" s="191"/>
      <c r="B32" s="47"/>
      <c r="C32" s="47"/>
      <c r="D32" s="361"/>
      <c r="E32" s="13"/>
      <c r="F32" s="29"/>
      <c r="G32" s="13"/>
      <c r="H32" s="29"/>
      <c r="I32" s="13"/>
      <c r="J32" s="29"/>
      <c r="K32" s="13"/>
      <c r="L32" s="135"/>
    </row>
    <row r="33" spans="1:12" s="129" customFormat="1">
      <c r="A33" s="227" t="s">
        <v>546</v>
      </c>
      <c r="B33" s="47"/>
      <c r="C33" s="47"/>
      <c r="D33" s="361"/>
      <c r="E33" s="13"/>
      <c r="F33" s="29"/>
      <c r="G33" s="13"/>
      <c r="H33" s="29"/>
      <c r="I33" s="13"/>
      <c r="J33" s="29"/>
      <c r="K33" s="13"/>
      <c r="L33" s="135"/>
    </row>
    <row r="34" spans="1:12" s="129" customFormat="1">
      <c r="A34" s="229" t="s">
        <v>163</v>
      </c>
      <c r="B34" s="47"/>
      <c r="C34" s="47"/>
      <c r="D34" s="361"/>
      <c r="E34" s="95">
        <v>-65024</v>
      </c>
      <c r="F34" s="29"/>
      <c r="G34" s="95">
        <v>-66208</v>
      </c>
      <c r="H34" s="29"/>
      <c r="I34" s="95">
        <v>-10425</v>
      </c>
      <c r="J34" s="29"/>
      <c r="K34" s="95">
        <v>-141658</v>
      </c>
      <c r="L34" s="135"/>
    </row>
    <row r="35" spans="1:12" s="129" customFormat="1" ht="8.1" customHeight="1">
      <c r="A35" s="223"/>
      <c r="B35" s="47"/>
      <c r="C35" s="47"/>
      <c r="D35" s="361"/>
      <c r="E35" s="13"/>
      <c r="F35" s="29"/>
      <c r="G35" s="13"/>
      <c r="H35" s="29"/>
      <c r="I35" s="13"/>
      <c r="J35" s="29"/>
      <c r="K35" s="13"/>
      <c r="L35" s="135"/>
    </row>
    <row r="36" spans="1:12" s="129" customFormat="1">
      <c r="A36" s="78" t="s">
        <v>143</v>
      </c>
      <c r="B36" s="47"/>
      <c r="C36" s="47"/>
      <c r="D36" s="361"/>
      <c r="E36" s="13">
        <v>74247</v>
      </c>
      <c r="F36" s="29"/>
      <c r="G36" s="13">
        <v>75736</v>
      </c>
      <c r="H36" s="29"/>
      <c r="I36" s="13">
        <v>78562</v>
      </c>
      <c r="J36" s="29"/>
      <c r="K36" s="13">
        <v>228545</v>
      </c>
      <c r="L36" s="135"/>
    </row>
    <row r="37" spans="1:12" s="129" customFormat="1" ht="8.1" customHeight="1">
      <c r="A37" s="78"/>
      <c r="B37" s="47"/>
      <c r="C37" s="47"/>
      <c r="D37" s="361"/>
      <c r="E37" s="6"/>
      <c r="F37" s="29"/>
      <c r="G37" s="6"/>
      <c r="H37" s="29"/>
      <c r="I37" s="6"/>
      <c r="J37" s="29"/>
      <c r="K37" s="6"/>
      <c r="L37" s="135"/>
    </row>
    <row r="38" spans="1:12" s="129" customFormat="1" ht="12.75" thickBot="1">
      <c r="A38" s="227" t="s">
        <v>144</v>
      </c>
      <c r="B38" s="47"/>
      <c r="C38" s="47"/>
      <c r="D38" s="47"/>
      <c r="E38" s="21">
        <v>9223</v>
      </c>
      <c r="F38" s="13"/>
      <c r="G38" s="21">
        <v>9528</v>
      </c>
      <c r="H38" s="13"/>
      <c r="I38" s="21">
        <v>68137</v>
      </c>
      <c r="J38" s="13"/>
      <c r="K38" s="21">
        <v>86887</v>
      </c>
      <c r="L38" s="135"/>
    </row>
    <row r="39" spans="1:12" s="129" customFormat="1" ht="8.1" customHeight="1" thickTop="1">
      <c r="A39" s="78"/>
      <c r="B39" s="47"/>
      <c r="C39" s="47"/>
      <c r="D39" s="47"/>
      <c r="E39" s="6"/>
      <c r="F39" s="13"/>
      <c r="G39" s="6"/>
      <c r="H39" s="13"/>
      <c r="I39" s="6"/>
      <c r="J39" s="13"/>
      <c r="K39" s="6"/>
      <c r="L39" s="135"/>
    </row>
    <row r="40" spans="1:12" s="129" customFormat="1" hidden="1">
      <c r="A40" s="227" t="s">
        <v>144</v>
      </c>
      <c r="B40" s="47"/>
      <c r="C40" s="47"/>
      <c r="D40" s="47"/>
      <c r="E40" s="6"/>
      <c r="F40" s="13"/>
      <c r="G40" s="6"/>
      <c r="H40" s="13"/>
      <c r="I40" s="6"/>
      <c r="J40" s="13"/>
      <c r="K40" s="6"/>
      <c r="L40" s="135"/>
    </row>
    <row r="41" spans="1:12" s="129" customFormat="1" hidden="1">
      <c r="A41" s="4" t="s">
        <v>134</v>
      </c>
      <c r="B41" s="47"/>
      <c r="C41" s="47"/>
      <c r="D41" s="11"/>
      <c r="E41" s="6">
        <v>9222.741</v>
      </c>
      <c r="F41" s="13"/>
      <c r="G41" s="6">
        <v>9528.4500000000007</v>
      </c>
      <c r="H41" s="13"/>
      <c r="I41" s="6">
        <v>68136.512000000002</v>
      </c>
      <c r="J41" s="13"/>
      <c r="K41" s="6">
        <v>86887.703000000009</v>
      </c>
      <c r="L41" s="135"/>
    </row>
    <row r="42" spans="1:12" s="129" customFormat="1" hidden="1">
      <c r="A42" s="4" t="s">
        <v>138</v>
      </c>
      <c r="B42" s="47"/>
      <c r="C42" s="47"/>
      <c r="D42" s="82"/>
      <c r="E42" s="6">
        <v>-1199</v>
      </c>
      <c r="F42" s="13"/>
      <c r="G42" s="6">
        <v>-1199</v>
      </c>
      <c r="H42" s="13"/>
      <c r="I42" s="6">
        <v>0</v>
      </c>
      <c r="J42" s="13"/>
      <c r="K42" s="6">
        <v>0</v>
      </c>
      <c r="L42" s="135"/>
    </row>
    <row r="43" spans="1:12" s="129" customFormat="1" ht="12.75" hidden="1" thickBot="1">
      <c r="A43" s="25"/>
      <c r="B43" s="47"/>
      <c r="C43" s="167"/>
      <c r="D43" s="47"/>
      <c r="E43" s="21">
        <v>8023.741</v>
      </c>
      <c r="F43" s="13"/>
      <c r="G43" s="21">
        <v>8329.4500000000007</v>
      </c>
      <c r="H43" s="13"/>
      <c r="I43" s="21">
        <v>68136.512000000002</v>
      </c>
      <c r="J43" s="13"/>
      <c r="K43" s="21">
        <v>86887.703000000009</v>
      </c>
      <c r="L43" s="135"/>
    </row>
    <row r="44" spans="1:12" s="129" customFormat="1" ht="6.75" customHeight="1">
      <c r="A44" s="49"/>
      <c r="B44" s="47"/>
      <c r="C44" s="167"/>
      <c r="D44" s="47"/>
      <c r="E44" s="14"/>
      <c r="F44" s="42"/>
      <c r="G44" s="42"/>
      <c r="H44" s="42"/>
      <c r="I44" s="42"/>
      <c r="J44" s="42"/>
      <c r="K44" s="42"/>
      <c r="L44" s="42"/>
    </row>
    <row r="45" spans="1:12">
      <c r="A45" s="370" t="s">
        <v>555</v>
      </c>
      <c r="B45" s="271"/>
      <c r="C45" s="271"/>
      <c r="D45" s="271"/>
      <c r="E45" s="271"/>
      <c r="F45" s="271"/>
      <c r="G45" s="271"/>
      <c r="H45" s="271"/>
      <c r="I45" s="271"/>
      <c r="J45" s="271"/>
      <c r="K45" s="271"/>
      <c r="L45" s="13"/>
    </row>
    <row r="46" spans="1:12" s="4" customFormat="1">
      <c r="E46" s="269"/>
      <c r="F46" s="269"/>
      <c r="G46" s="269"/>
      <c r="H46" s="269"/>
      <c r="I46" s="269"/>
      <c r="J46" s="269"/>
      <c r="K46" s="269"/>
      <c r="L46" s="13"/>
    </row>
    <row r="47" spans="1:12" s="4" customFormat="1">
      <c r="E47" s="269"/>
      <c r="F47" s="269"/>
      <c r="G47" s="269"/>
      <c r="H47" s="269"/>
      <c r="I47" s="269"/>
      <c r="J47" s="269"/>
      <c r="K47" s="269"/>
      <c r="L47" s="13"/>
    </row>
    <row r="48" spans="1:12" s="4" customFormat="1">
      <c r="E48" s="269"/>
      <c r="F48" s="269"/>
      <c r="G48" s="269"/>
      <c r="H48" s="269"/>
      <c r="I48" s="269"/>
      <c r="J48" s="269"/>
      <c r="K48" s="269"/>
      <c r="L48" s="13"/>
    </row>
    <row r="49" spans="1:12" s="4" customFormat="1">
      <c r="E49" s="269"/>
      <c r="F49" s="269"/>
      <c r="G49" s="269"/>
      <c r="H49" s="269"/>
      <c r="I49" s="269"/>
      <c r="J49" s="269"/>
      <c r="K49" s="269"/>
      <c r="L49" s="13"/>
    </row>
    <row r="50" spans="1:12" s="4" customFormat="1" ht="6" customHeight="1">
      <c r="E50" s="281"/>
      <c r="F50" s="268"/>
      <c r="G50" s="268"/>
      <c r="H50" s="268"/>
      <c r="I50" s="268"/>
      <c r="J50" s="268"/>
      <c r="K50" s="281"/>
      <c r="L50" s="13"/>
    </row>
    <row r="51" spans="1:12" s="4" customFormat="1">
      <c r="A51" s="272" t="s">
        <v>543</v>
      </c>
      <c r="B51" s="50"/>
      <c r="C51" s="2"/>
      <c r="D51" s="2"/>
      <c r="E51" s="3"/>
      <c r="F51" s="3"/>
      <c r="G51" s="3"/>
      <c r="H51" s="3"/>
      <c r="I51" s="3"/>
      <c r="J51" s="3"/>
      <c r="K51" s="3"/>
      <c r="L51" s="26"/>
    </row>
    <row r="52" spans="1:12" s="4" customFormat="1">
      <c r="A52" s="272" t="s">
        <v>544</v>
      </c>
      <c r="B52" s="50"/>
      <c r="C52" s="2"/>
      <c r="D52" s="2"/>
      <c r="E52" s="3"/>
      <c r="F52" s="3"/>
      <c r="G52" s="3"/>
      <c r="H52" s="3"/>
      <c r="I52" s="3"/>
      <c r="J52" s="3"/>
      <c r="K52" s="3"/>
      <c r="L52" s="26"/>
    </row>
    <row r="53" spans="1:12" s="4" customFormat="1">
      <c r="A53" s="50"/>
      <c r="B53" s="50"/>
      <c r="C53" s="50"/>
      <c r="D53" s="2"/>
      <c r="E53" s="3"/>
      <c r="F53" s="3"/>
      <c r="G53" s="3"/>
      <c r="H53" s="3"/>
      <c r="I53" s="3"/>
      <c r="J53" s="3"/>
      <c r="K53" s="3"/>
      <c r="L53" s="3"/>
    </row>
    <row r="54" spans="1:12" s="4" customFormat="1" ht="5.25" customHeight="1">
      <c r="A54" s="50"/>
      <c r="B54" s="50"/>
      <c r="C54" s="50"/>
      <c r="D54" s="2"/>
      <c r="E54" s="3"/>
      <c r="F54" s="3"/>
      <c r="G54" s="3"/>
      <c r="H54" s="3"/>
      <c r="I54" s="3"/>
      <c r="J54" s="3"/>
      <c r="K54" s="3"/>
      <c r="L54" s="3"/>
    </row>
    <row r="55" spans="1:12" s="4" customFormat="1">
      <c r="A55" s="50"/>
      <c r="B55" s="50"/>
      <c r="C55" s="50"/>
      <c r="D55" s="2"/>
      <c r="E55" s="26"/>
      <c r="F55" s="26"/>
      <c r="G55" s="26"/>
      <c r="H55" s="26"/>
      <c r="I55" s="26"/>
      <c r="J55" s="26"/>
      <c r="K55" s="26"/>
      <c r="L55" s="26"/>
    </row>
    <row r="56" spans="1:12" s="29" customFormat="1">
      <c r="A56" s="272" t="s">
        <v>97</v>
      </c>
      <c r="B56" s="27"/>
      <c r="C56" s="27"/>
      <c r="D56" s="27"/>
      <c r="E56" s="280"/>
      <c r="F56" s="280"/>
      <c r="G56" s="280"/>
      <c r="H56" s="280"/>
      <c r="I56" s="280"/>
      <c r="J56" s="280"/>
      <c r="K56" s="280"/>
      <c r="L56" s="280"/>
    </row>
    <row r="57" spans="1:12">
      <c r="E57" s="6"/>
    </row>
    <row r="58" spans="1:12">
      <c r="E58" s="6"/>
    </row>
    <row r="59" spans="1:12">
      <c r="E59" s="6"/>
    </row>
    <row r="60" spans="1:12">
      <c r="E60" s="6"/>
    </row>
    <row r="61" spans="1:12">
      <c r="E61" s="6"/>
    </row>
    <row r="62" spans="1:12">
      <c r="E62" s="6"/>
    </row>
    <row r="63" spans="1:12">
      <c r="E63" s="6"/>
    </row>
    <row r="64" spans="1:12">
      <c r="E64" s="6"/>
    </row>
    <row r="65" spans="5:5">
      <c r="E65" s="6"/>
    </row>
    <row r="66" spans="5:5">
      <c r="E66" s="6"/>
    </row>
    <row r="67" spans="5:5">
      <c r="E67" s="6"/>
    </row>
    <row r="68" spans="5:5">
      <c r="E68" s="6"/>
    </row>
    <row r="69" spans="5:5">
      <c r="E69" s="6"/>
    </row>
    <row r="70" spans="5:5">
      <c r="E70" s="6"/>
    </row>
    <row r="71" spans="5:5">
      <c r="E71" s="6"/>
    </row>
    <row r="72" spans="5:5">
      <c r="E72" s="6"/>
    </row>
    <row r="73" spans="5:5">
      <c r="E73" s="6"/>
    </row>
    <row r="74" spans="5:5">
      <c r="E74" s="6"/>
    </row>
    <row r="75" spans="5:5">
      <c r="E75" s="6"/>
    </row>
    <row r="76" spans="5:5">
      <c r="E76" s="6"/>
    </row>
    <row r="77" spans="5:5">
      <c r="E77" s="6"/>
    </row>
    <row r="78" spans="5:5">
      <c r="E78" s="6"/>
    </row>
    <row r="79" spans="5:5">
      <c r="E79" s="6"/>
    </row>
    <row r="80" spans="5:5">
      <c r="E80" s="6"/>
    </row>
    <row r="81" spans="5:5">
      <c r="E81" s="6"/>
    </row>
    <row r="82" spans="5:5">
      <c r="E82" s="6"/>
    </row>
    <row r="83" spans="5:5">
      <c r="E83" s="6"/>
    </row>
    <row r="84" spans="5:5">
      <c r="E84" s="6"/>
    </row>
    <row r="85" spans="5:5">
      <c r="E85" s="6"/>
    </row>
    <row r="86" spans="5:5">
      <c r="E86" s="6"/>
    </row>
    <row r="87" spans="5:5">
      <c r="E87" s="6"/>
    </row>
    <row r="88" spans="5:5">
      <c r="E88" s="6"/>
    </row>
    <row r="89" spans="5:5">
      <c r="E89" s="6"/>
    </row>
    <row r="90" spans="5:5">
      <c r="E90" s="6"/>
    </row>
    <row r="91" spans="5:5">
      <c r="E91" s="6"/>
    </row>
    <row r="92" spans="5:5">
      <c r="E92" s="6"/>
    </row>
    <row r="93" spans="5:5">
      <c r="E93" s="6"/>
    </row>
    <row r="94" spans="5:5">
      <c r="E94" s="6"/>
    </row>
    <row r="95" spans="5:5">
      <c r="E95" s="6"/>
    </row>
    <row r="96" spans="5:5">
      <c r="E96" s="6"/>
    </row>
    <row r="97" spans="5:5">
      <c r="E97" s="6"/>
    </row>
    <row r="98" spans="5:5">
      <c r="E98" s="6"/>
    </row>
    <row r="99" spans="5:5">
      <c r="E99" s="6"/>
    </row>
    <row r="100" spans="5:5">
      <c r="E100" s="6"/>
    </row>
    <row r="101" spans="5:5">
      <c r="E101" s="6"/>
    </row>
    <row r="102" spans="5:5">
      <c r="E102" s="6"/>
    </row>
    <row r="103" spans="5:5">
      <c r="E103" s="6"/>
    </row>
    <row r="104" spans="5:5">
      <c r="E104" s="6"/>
    </row>
    <row r="105" spans="5:5">
      <c r="E105" s="6"/>
    </row>
    <row r="106" spans="5:5">
      <c r="E106" s="6"/>
    </row>
    <row r="107" spans="5:5">
      <c r="E107" s="6"/>
    </row>
    <row r="108" spans="5:5">
      <c r="E108" s="6"/>
    </row>
    <row r="109" spans="5:5">
      <c r="E109" s="6"/>
    </row>
    <row r="110" spans="5:5">
      <c r="E110" s="6"/>
    </row>
    <row r="111" spans="5:5">
      <c r="E111" s="6"/>
    </row>
    <row r="112" spans="5:5">
      <c r="E112" s="6"/>
    </row>
    <row r="113" spans="5:5">
      <c r="E113" s="6"/>
    </row>
    <row r="114" spans="5:5">
      <c r="E114" s="6"/>
    </row>
    <row r="115" spans="5:5">
      <c r="E115" s="6"/>
    </row>
    <row r="116" spans="5:5">
      <c r="E116" s="6"/>
    </row>
    <row r="117" spans="5:5">
      <c r="E117" s="6"/>
    </row>
    <row r="118" spans="5:5">
      <c r="E118" s="6"/>
    </row>
    <row r="119" spans="5:5">
      <c r="E119" s="6"/>
    </row>
    <row r="120" spans="5:5">
      <c r="E120" s="6"/>
    </row>
    <row r="121" spans="5:5">
      <c r="E121" s="6"/>
    </row>
    <row r="122" spans="5:5">
      <c r="E122" s="6"/>
    </row>
    <row r="123" spans="5:5">
      <c r="E123" s="6"/>
    </row>
    <row r="124" spans="5:5">
      <c r="E124" s="6"/>
    </row>
    <row r="125" spans="5:5">
      <c r="E125" s="6"/>
    </row>
    <row r="126" spans="5:5">
      <c r="E126" s="6"/>
    </row>
    <row r="127" spans="5:5">
      <c r="E127" s="6"/>
    </row>
    <row r="128" spans="5:5">
      <c r="E128" s="6"/>
    </row>
    <row r="129" spans="5:5">
      <c r="E129" s="6"/>
    </row>
    <row r="130" spans="5:5">
      <c r="E130" s="6"/>
    </row>
    <row r="131" spans="5:5">
      <c r="E131" s="6"/>
    </row>
    <row r="132" spans="5:5">
      <c r="E132" s="6"/>
    </row>
    <row r="133" spans="5:5">
      <c r="E133" s="6"/>
    </row>
    <row r="134" spans="5:5">
      <c r="E134" s="6"/>
    </row>
    <row r="135" spans="5:5">
      <c r="E135" s="6"/>
    </row>
    <row r="136" spans="5:5">
      <c r="E136" s="6"/>
    </row>
    <row r="137" spans="5:5">
      <c r="E137" s="6"/>
    </row>
    <row r="138" spans="5:5">
      <c r="E138" s="6"/>
    </row>
    <row r="139" spans="5:5">
      <c r="E139" s="6"/>
    </row>
    <row r="140" spans="5:5">
      <c r="E140" s="6"/>
    </row>
    <row r="141" spans="5:5">
      <c r="E141" s="6"/>
    </row>
    <row r="142" spans="5:5">
      <c r="E142" s="6"/>
    </row>
    <row r="143" spans="5:5">
      <c r="E143" s="6"/>
    </row>
    <row r="144" spans="5:5">
      <c r="E144" s="6"/>
    </row>
    <row r="145" spans="5:5">
      <c r="E145" s="6"/>
    </row>
    <row r="146" spans="5:5">
      <c r="E146" s="6"/>
    </row>
    <row r="147" spans="5:5">
      <c r="E147" s="6"/>
    </row>
    <row r="148" spans="5:5">
      <c r="E148" s="6"/>
    </row>
    <row r="149" spans="5:5">
      <c r="E149" s="6"/>
    </row>
    <row r="150" spans="5:5">
      <c r="E150" s="6"/>
    </row>
    <row r="151" spans="5:5">
      <c r="E151" s="6"/>
    </row>
    <row r="152" spans="5:5">
      <c r="E152" s="6"/>
    </row>
    <row r="153" spans="5:5">
      <c r="E153" s="6"/>
    </row>
    <row r="154" spans="5:5">
      <c r="E154" s="6"/>
    </row>
    <row r="155" spans="5:5">
      <c r="E155" s="6"/>
    </row>
    <row r="156" spans="5:5">
      <c r="E156" s="6"/>
    </row>
    <row r="157" spans="5:5">
      <c r="E157" s="6"/>
    </row>
    <row r="158" spans="5:5">
      <c r="E158" s="6"/>
    </row>
    <row r="159" spans="5:5">
      <c r="E159" s="6"/>
    </row>
    <row r="160" spans="5:5">
      <c r="E160" s="6"/>
    </row>
    <row r="161" spans="5:5">
      <c r="E161" s="6"/>
    </row>
    <row r="162" spans="5:5">
      <c r="E162" s="6"/>
    </row>
    <row r="163" spans="5:5">
      <c r="E163" s="6"/>
    </row>
    <row r="164" spans="5:5">
      <c r="E164" s="6"/>
    </row>
    <row r="165" spans="5:5">
      <c r="E165" s="6"/>
    </row>
    <row r="166" spans="5:5">
      <c r="E166" s="6"/>
    </row>
    <row r="167" spans="5:5">
      <c r="E167" s="6"/>
    </row>
    <row r="168" spans="5:5">
      <c r="E168" s="6"/>
    </row>
    <row r="169" spans="5:5">
      <c r="E169" s="6"/>
    </row>
    <row r="170" spans="5:5">
      <c r="E170" s="6"/>
    </row>
    <row r="171" spans="5:5">
      <c r="E171" s="6"/>
    </row>
    <row r="172" spans="5:5">
      <c r="E172" s="6"/>
    </row>
    <row r="173" spans="5:5">
      <c r="E173" s="6"/>
    </row>
    <row r="174" spans="5:5">
      <c r="E174" s="6"/>
    </row>
    <row r="175" spans="5:5">
      <c r="E175" s="6"/>
    </row>
    <row r="176" spans="5:5">
      <c r="E176" s="6"/>
    </row>
    <row r="177" spans="5:5">
      <c r="E177" s="6"/>
    </row>
    <row r="178" spans="5:5">
      <c r="E178" s="6"/>
    </row>
    <row r="179" spans="5:5">
      <c r="E179" s="6"/>
    </row>
    <row r="180" spans="5:5">
      <c r="E180" s="6"/>
    </row>
    <row r="181" spans="5:5">
      <c r="E181" s="6"/>
    </row>
    <row r="182" spans="5:5">
      <c r="E182" s="6"/>
    </row>
    <row r="183" spans="5:5">
      <c r="E183" s="6"/>
    </row>
    <row r="184" spans="5:5">
      <c r="E184" s="6"/>
    </row>
    <row r="185" spans="5:5">
      <c r="E185" s="6"/>
    </row>
    <row r="186" spans="5:5">
      <c r="E186" s="6"/>
    </row>
    <row r="187" spans="5:5">
      <c r="E187" s="6"/>
    </row>
    <row r="188" spans="5:5">
      <c r="E188" s="6"/>
    </row>
    <row r="189" spans="5:5">
      <c r="E189" s="6"/>
    </row>
    <row r="190" spans="5:5">
      <c r="E190" s="6"/>
    </row>
    <row r="191" spans="5:5">
      <c r="E191" s="6"/>
    </row>
    <row r="192" spans="5:5">
      <c r="E192" s="6"/>
    </row>
    <row r="193" spans="5:5">
      <c r="E193" s="6"/>
    </row>
    <row r="194" spans="5:5">
      <c r="E194" s="6"/>
    </row>
    <row r="195" spans="5:5">
      <c r="E195" s="6"/>
    </row>
    <row r="196" spans="5:5">
      <c r="E196" s="6"/>
    </row>
    <row r="197" spans="5:5">
      <c r="E197" s="6"/>
    </row>
    <row r="198" spans="5:5">
      <c r="E198" s="6"/>
    </row>
    <row r="199" spans="5:5">
      <c r="E199" s="6"/>
    </row>
    <row r="200" spans="5:5">
      <c r="E200" s="6"/>
    </row>
    <row r="201" spans="5:5">
      <c r="E201" s="6"/>
    </row>
    <row r="202" spans="5:5">
      <c r="E202" s="6"/>
    </row>
    <row r="203" spans="5:5">
      <c r="E203" s="6"/>
    </row>
    <row r="204" spans="5:5">
      <c r="E204" s="6"/>
    </row>
    <row r="205" spans="5:5">
      <c r="E205" s="6"/>
    </row>
    <row r="206" spans="5:5">
      <c r="E206" s="6"/>
    </row>
    <row r="207" spans="5:5">
      <c r="E207" s="6"/>
    </row>
    <row r="208" spans="5:5">
      <c r="E208" s="6"/>
    </row>
    <row r="209" spans="5:5">
      <c r="E209" s="6"/>
    </row>
    <row r="210" spans="5:5">
      <c r="E210" s="6"/>
    </row>
    <row r="211" spans="5:5">
      <c r="E211" s="6"/>
    </row>
    <row r="212" spans="5:5">
      <c r="E212" s="6"/>
    </row>
    <row r="213" spans="5:5">
      <c r="E213" s="6"/>
    </row>
    <row r="214" spans="5:5">
      <c r="E214" s="6"/>
    </row>
    <row r="215" spans="5:5">
      <c r="E215" s="6"/>
    </row>
    <row r="216" spans="5:5">
      <c r="E216" s="6"/>
    </row>
    <row r="217" spans="5:5">
      <c r="E217" s="6"/>
    </row>
    <row r="218" spans="5:5">
      <c r="E218" s="6"/>
    </row>
    <row r="219" spans="5:5">
      <c r="E219" s="6"/>
    </row>
    <row r="220" spans="5:5">
      <c r="E220" s="6"/>
    </row>
    <row r="221" spans="5:5">
      <c r="E221" s="6"/>
    </row>
    <row r="222" spans="5:5">
      <c r="E222" s="6"/>
    </row>
    <row r="223" spans="5:5">
      <c r="E223" s="6"/>
    </row>
    <row r="224" spans="5:5">
      <c r="E224" s="6"/>
    </row>
    <row r="225" spans="5:5">
      <c r="E225" s="6"/>
    </row>
    <row r="226" spans="5:5">
      <c r="E226" s="6"/>
    </row>
    <row r="227" spans="5:5">
      <c r="E227" s="6"/>
    </row>
    <row r="228" spans="5:5">
      <c r="E228" s="6"/>
    </row>
    <row r="229" spans="5:5">
      <c r="E229" s="6"/>
    </row>
    <row r="230" spans="5:5">
      <c r="E230" s="6"/>
    </row>
    <row r="231" spans="5:5">
      <c r="E231" s="6"/>
    </row>
    <row r="232" spans="5:5">
      <c r="E232" s="6"/>
    </row>
    <row r="233" spans="5:5">
      <c r="E233" s="6"/>
    </row>
    <row r="234" spans="5:5">
      <c r="E234" s="6"/>
    </row>
    <row r="235" spans="5:5">
      <c r="E235" s="6"/>
    </row>
    <row r="236" spans="5:5">
      <c r="E236" s="6"/>
    </row>
    <row r="237" spans="5:5">
      <c r="E237" s="6"/>
    </row>
    <row r="238" spans="5:5">
      <c r="E238" s="6"/>
    </row>
    <row r="239" spans="5:5">
      <c r="E239" s="6"/>
    </row>
    <row r="240" spans="5:5">
      <c r="E240" s="6"/>
    </row>
    <row r="241" spans="5:5">
      <c r="E241" s="6"/>
    </row>
    <row r="242" spans="5:5">
      <c r="E242" s="6"/>
    </row>
    <row r="243" spans="5:5">
      <c r="E243" s="6"/>
    </row>
    <row r="244" spans="5:5">
      <c r="E244" s="6"/>
    </row>
    <row r="245" spans="5:5">
      <c r="E245" s="6"/>
    </row>
    <row r="246" spans="5:5">
      <c r="E246" s="6"/>
    </row>
    <row r="247" spans="5:5">
      <c r="E247" s="6"/>
    </row>
    <row r="248" spans="5:5">
      <c r="E248" s="6"/>
    </row>
    <row r="249" spans="5:5">
      <c r="E249" s="6"/>
    </row>
    <row r="250" spans="5:5">
      <c r="E250" s="6"/>
    </row>
    <row r="251" spans="5:5">
      <c r="E251" s="6"/>
    </row>
    <row r="252" spans="5:5">
      <c r="E252" s="6"/>
    </row>
    <row r="253" spans="5:5">
      <c r="E253" s="6"/>
    </row>
    <row r="254" spans="5:5">
      <c r="E254" s="6"/>
    </row>
    <row r="255" spans="5:5">
      <c r="E255" s="6"/>
    </row>
    <row r="256" spans="5:5">
      <c r="E256" s="6"/>
    </row>
    <row r="257" spans="5:5">
      <c r="E257" s="6"/>
    </row>
    <row r="258" spans="5:5">
      <c r="E258" s="6"/>
    </row>
    <row r="259" spans="5:5">
      <c r="E259" s="6"/>
    </row>
    <row r="260" spans="5:5">
      <c r="E260" s="6"/>
    </row>
    <row r="261" spans="5:5">
      <c r="E261" s="6"/>
    </row>
    <row r="262" spans="5:5">
      <c r="E262" s="6"/>
    </row>
    <row r="263" spans="5:5">
      <c r="E263" s="6"/>
    </row>
    <row r="264" spans="5:5">
      <c r="E264" s="6"/>
    </row>
    <row r="265" spans="5:5">
      <c r="E265" s="6"/>
    </row>
    <row r="266" spans="5:5">
      <c r="E266" s="6"/>
    </row>
    <row r="267" spans="5:5">
      <c r="E267" s="6"/>
    </row>
    <row r="268" spans="5:5">
      <c r="E268" s="6"/>
    </row>
    <row r="269" spans="5:5">
      <c r="E269" s="6"/>
    </row>
    <row r="270" spans="5:5">
      <c r="E270" s="6"/>
    </row>
    <row r="271" spans="5:5">
      <c r="E271" s="6"/>
    </row>
    <row r="272" spans="5:5">
      <c r="E272" s="6"/>
    </row>
    <row r="273" spans="5:5">
      <c r="E273" s="6"/>
    </row>
    <row r="274" spans="5:5">
      <c r="E274" s="6"/>
    </row>
    <row r="275" spans="5:5">
      <c r="E275" s="6"/>
    </row>
    <row r="276" spans="5:5">
      <c r="E276" s="6"/>
    </row>
    <row r="277" spans="5:5">
      <c r="E277" s="6"/>
    </row>
    <row r="278" spans="5:5">
      <c r="E278" s="6"/>
    </row>
    <row r="279" spans="5:5">
      <c r="E279" s="6"/>
    </row>
    <row r="280" spans="5:5">
      <c r="E280" s="6"/>
    </row>
    <row r="281" spans="5:5">
      <c r="E281" s="6"/>
    </row>
    <row r="282" spans="5:5">
      <c r="E282" s="6"/>
    </row>
    <row r="283" spans="5:5">
      <c r="E283" s="6"/>
    </row>
    <row r="284" spans="5:5">
      <c r="E284" s="6"/>
    </row>
    <row r="285" spans="5:5">
      <c r="E285" s="6"/>
    </row>
    <row r="286" spans="5:5">
      <c r="E286" s="6"/>
    </row>
    <row r="287" spans="5:5">
      <c r="E287" s="6"/>
    </row>
    <row r="288" spans="5:5">
      <c r="E288" s="6"/>
    </row>
    <row r="289" spans="5:5">
      <c r="E289" s="6"/>
    </row>
    <row r="290" spans="5:5">
      <c r="E290" s="6"/>
    </row>
    <row r="291" spans="5:5">
      <c r="E291" s="6"/>
    </row>
    <row r="292" spans="5:5">
      <c r="E292" s="6"/>
    </row>
    <row r="293" spans="5:5">
      <c r="E293" s="6"/>
    </row>
    <row r="294" spans="5:5">
      <c r="E294" s="6"/>
    </row>
    <row r="295" spans="5:5">
      <c r="E295" s="6"/>
    </row>
    <row r="296" spans="5:5">
      <c r="E296" s="6"/>
    </row>
    <row r="297" spans="5:5">
      <c r="E297" s="6"/>
    </row>
    <row r="298" spans="5:5">
      <c r="E298" s="6"/>
    </row>
    <row r="299" spans="5:5">
      <c r="E299" s="6"/>
    </row>
    <row r="300" spans="5:5">
      <c r="E300" s="6"/>
    </row>
    <row r="301" spans="5:5">
      <c r="E301" s="6"/>
    </row>
    <row r="302" spans="5:5">
      <c r="E302" s="6"/>
    </row>
    <row r="303" spans="5:5">
      <c r="E303" s="6"/>
    </row>
    <row r="304" spans="5:5">
      <c r="E304" s="6"/>
    </row>
    <row r="305" spans="5:5">
      <c r="E305" s="6"/>
    </row>
    <row r="306" spans="5:5">
      <c r="E306" s="6"/>
    </row>
    <row r="307" spans="5:5">
      <c r="E307" s="6"/>
    </row>
    <row r="308" spans="5:5">
      <c r="E308" s="6"/>
    </row>
    <row r="309" spans="5:5">
      <c r="E309" s="6"/>
    </row>
    <row r="310" spans="5:5">
      <c r="E310" s="6"/>
    </row>
    <row r="311" spans="5:5">
      <c r="E311" s="6"/>
    </row>
    <row r="312" spans="5:5">
      <c r="E312" s="6"/>
    </row>
    <row r="313" spans="5:5">
      <c r="E313" s="6"/>
    </row>
    <row r="314" spans="5:5">
      <c r="E314" s="6"/>
    </row>
    <row r="315" spans="5:5">
      <c r="E315" s="6"/>
    </row>
    <row r="316" spans="5:5">
      <c r="E316" s="6"/>
    </row>
    <row r="317" spans="5:5">
      <c r="E317" s="6"/>
    </row>
    <row r="318" spans="5:5">
      <c r="E318" s="6"/>
    </row>
    <row r="319" spans="5:5">
      <c r="E319" s="6"/>
    </row>
    <row r="320" spans="5:5">
      <c r="E320" s="6"/>
    </row>
    <row r="321" spans="5:5">
      <c r="E321" s="6"/>
    </row>
    <row r="322" spans="5:5">
      <c r="E322" s="6"/>
    </row>
    <row r="323" spans="5:5">
      <c r="E323" s="6"/>
    </row>
  </sheetData>
  <customSheetViews>
    <customSheetView guid="{84FBBE83-FF6F-4C76-A58E-D04643F715A5}" showPageBreaks="1" fitToPage="1" printArea="1" hiddenRows="1" view="pageBreakPreview" topLeftCell="A40">
      <selection activeCell="K26" sqref="K26"/>
      <colBreaks count="1" manualBreakCount="1">
        <brk id="11" max="63" man="1"/>
      </colBreaks>
      <pageMargins left="0.75" right="0.5" top="0.5" bottom="0.25" header="0.5" footer="0.5"/>
      <printOptions horizontalCentered="1"/>
      <pageSetup paperSize="9" fitToWidth="12" fitToHeight="12" orientation="portrait" r:id="rId1"/>
      <headerFooter alignWithMargins="0">
        <oddFooter>&amp;C6 of 11</oddFooter>
      </headerFooter>
    </customSheetView>
  </customSheetViews>
  <mergeCells count="3">
    <mergeCell ref="E7:K7"/>
    <mergeCell ref="E4:K4"/>
    <mergeCell ref="E6:K6"/>
  </mergeCells>
  <phoneticPr fontId="6" type="noConversion"/>
  <printOptions horizontalCentered="1"/>
  <pageMargins left="0.75" right="0.5" top="0.5" bottom="0.25" header="0.5" footer="0.5"/>
  <pageSetup paperSize="9" scale="91" fitToWidth="12" fitToHeight="12" orientation="portrait" r:id="rId2"/>
  <headerFooter alignWithMargins="0">
    <oddFooter>&amp;C5 of 9</oddFooter>
  </headerFooter>
</worksheet>
</file>

<file path=xl/worksheets/sheet13.xml><?xml version="1.0" encoding="utf-8"?>
<worksheet xmlns="http://schemas.openxmlformats.org/spreadsheetml/2006/main" xmlns:r="http://schemas.openxmlformats.org/officeDocument/2006/relationships">
  <sheetPr codeName="Sheet22"/>
  <dimension ref="A1:G79"/>
  <sheetViews>
    <sheetView view="pageBreakPreview" topLeftCell="A37" zoomScaleNormal="90" zoomScaleSheetLayoutView="100" workbookViewId="0">
      <selection activeCell="C16" sqref="C16"/>
    </sheetView>
  </sheetViews>
  <sheetFormatPr defaultRowHeight="12"/>
  <cols>
    <col min="1" max="1" width="4.5" style="171" customWidth="1"/>
    <col min="2" max="2" width="55.625" style="171" bestFit="1" customWidth="1"/>
    <col min="3" max="3" width="14.75" style="171" bestFit="1" customWidth="1"/>
    <col min="4" max="4" width="15.125" style="171" bestFit="1" customWidth="1"/>
    <col min="5" max="5" width="15" style="171" bestFit="1" customWidth="1"/>
    <col min="6" max="6" width="9" style="171"/>
    <col min="7" max="7" width="10.875" style="171" bestFit="1" customWidth="1"/>
    <col min="8" max="16384" width="9" style="171"/>
  </cols>
  <sheetData>
    <row r="1" spans="1:6">
      <c r="A1" s="2" t="str">
        <f>[46]BS!$A$1</f>
        <v>NATIONAL INVESTMENT (UNIT) TRUST</v>
      </c>
      <c r="E1" s="349" t="s">
        <v>205</v>
      </c>
    </row>
    <row r="2" spans="1:6">
      <c r="A2" s="87" t="s">
        <v>133</v>
      </c>
    </row>
    <row r="3" spans="1:6">
      <c r="A3" s="87" t="s">
        <v>164</v>
      </c>
    </row>
    <row r="4" spans="1:6">
      <c r="A4" s="87" t="s">
        <v>193</v>
      </c>
      <c r="B4" s="26"/>
      <c r="C4" s="26"/>
      <c r="D4" s="26"/>
    </row>
    <row r="5" spans="1:6">
      <c r="B5" s="25"/>
      <c r="C5" s="25"/>
      <c r="D5" s="25"/>
    </row>
    <row r="6" spans="1:6" ht="24">
      <c r="B6" s="25"/>
      <c r="C6" s="233" t="s">
        <v>204</v>
      </c>
      <c r="D6" s="233" t="s">
        <v>206</v>
      </c>
      <c r="E6" s="333" t="s">
        <v>35</v>
      </c>
    </row>
    <row r="7" spans="1:6">
      <c r="C7" s="776" t="s">
        <v>33</v>
      </c>
      <c r="D7" s="777" t="s">
        <v>53</v>
      </c>
      <c r="E7" s="778"/>
    </row>
    <row r="8" spans="1:6">
      <c r="B8" s="20" t="s">
        <v>96</v>
      </c>
      <c r="C8" s="4"/>
      <c r="D8" s="4"/>
      <c r="E8" s="216"/>
      <c r="F8" s="216"/>
    </row>
    <row r="9" spans="1:6">
      <c r="B9" s="217" t="s">
        <v>28</v>
      </c>
      <c r="C9" s="6">
        <f>'cash flow'!E9</f>
        <v>-4294.5600000000004</v>
      </c>
      <c r="D9" s="6">
        <v>-964290</v>
      </c>
      <c r="E9" s="6">
        <f>C9-D9</f>
        <v>959995.44</v>
      </c>
      <c r="F9" s="216"/>
    </row>
    <row r="10" spans="1:6">
      <c r="B10" s="23"/>
      <c r="C10" s="6"/>
      <c r="D10" s="6"/>
      <c r="E10" s="6"/>
      <c r="F10" s="216"/>
    </row>
    <row r="11" spans="1:6">
      <c r="B11" s="218" t="s">
        <v>98</v>
      </c>
      <c r="C11" s="6"/>
      <c r="D11" s="6"/>
      <c r="E11" s="6"/>
      <c r="F11" s="216"/>
    </row>
    <row r="12" spans="1:6">
      <c r="B12" s="219" t="s">
        <v>192</v>
      </c>
      <c r="C12" s="6"/>
      <c r="D12" s="6"/>
      <c r="E12" s="6"/>
      <c r="F12" s="216"/>
    </row>
    <row r="13" spans="1:6">
      <c r="B13" s="220" t="s">
        <v>2</v>
      </c>
      <c r="C13" s="6"/>
      <c r="D13" s="6"/>
      <c r="E13" s="6"/>
      <c r="F13" s="216"/>
    </row>
    <row r="14" spans="1:6">
      <c r="B14" s="221" t="s">
        <v>1</v>
      </c>
      <c r="C14" s="6" t="e">
        <f>'cash flow'!#REF!</f>
        <v>#REF!</v>
      </c>
      <c r="D14" s="6">
        <v>-257237</v>
      </c>
      <c r="E14" s="6" t="e">
        <f>C14-D14</f>
        <v>#REF!</v>
      </c>
      <c r="F14" s="216"/>
    </row>
    <row r="15" spans="1:6">
      <c r="B15" s="197" t="s">
        <v>31</v>
      </c>
      <c r="C15" s="6">
        <v>0</v>
      </c>
      <c r="D15" s="6">
        <v>0</v>
      </c>
      <c r="E15" s="6">
        <f>C15-D15</f>
        <v>0</v>
      </c>
      <c r="F15" s="216"/>
    </row>
    <row r="16" spans="1:6">
      <c r="B16" s="197" t="s">
        <v>158</v>
      </c>
      <c r="C16" s="6"/>
      <c r="D16" s="6"/>
      <c r="E16" s="6"/>
      <c r="F16" s="216"/>
    </row>
    <row r="17" spans="2:6">
      <c r="B17" s="222" t="s">
        <v>4</v>
      </c>
      <c r="C17" s="6" t="e">
        <f>'cash flow'!#REF!</f>
        <v>#REF!</v>
      </c>
      <c r="D17" s="6">
        <v>3076302</v>
      </c>
      <c r="E17" s="6" t="e">
        <f>C17-D17</f>
        <v>#REF!</v>
      </c>
      <c r="F17" s="216"/>
    </row>
    <row r="18" spans="2:6">
      <c r="B18" s="222"/>
      <c r="C18" s="6"/>
      <c r="D18" s="6"/>
      <c r="E18" s="6"/>
      <c r="F18" s="216"/>
    </row>
    <row r="19" spans="2:6">
      <c r="B19" s="223" t="s">
        <v>32</v>
      </c>
      <c r="C19" s="6" t="e">
        <f>'cash flow'!#REF!</f>
        <v>#REF!</v>
      </c>
      <c r="D19" s="6">
        <v>0</v>
      </c>
      <c r="E19" s="6" t="e">
        <f>C19-D19</f>
        <v>#REF!</v>
      </c>
      <c r="F19" s="216"/>
    </row>
    <row r="20" spans="2:6" hidden="1">
      <c r="B20" s="223" t="s">
        <v>107</v>
      </c>
      <c r="C20" s="6">
        <v>0</v>
      </c>
      <c r="D20" s="6">
        <v>0</v>
      </c>
      <c r="E20" s="6">
        <f>C20-D20</f>
        <v>0</v>
      </c>
      <c r="F20" s="216"/>
    </row>
    <row r="21" spans="2:6">
      <c r="B21" s="175" t="s">
        <v>79</v>
      </c>
      <c r="C21" s="6" t="e">
        <f>'cash flow'!#REF!</f>
        <v>#REF!</v>
      </c>
      <c r="D21" s="6">
        <v>202091</v>
      </c>
      <c r="E21" s="6" t="e">
        <f>C21-D21</f>
        <v>#REF!</v>
      </c>
      <c r="F21" s="216"/>
    </row>
    <row r="22" spans="2:6">
      <c r="B22" s="175" t="s">
        <v>197</v>
      </c>
      <c r="C22" s="6" t="e">
        <f>'cash flow'!#REF!</f>
        <v>#REF!</v>
      </c>
      <c r="D22" s="6">
        <v>32335</v>
      </c>
      <c r="E22" s="6" t="e">
        <f>C22-D22</f>
        <v>#REF!</v>
      </c>
      <c r="F22" s="216"/>
    </row>
    <row r="23" spans="2:6">
      <c r="B23" s="20"/>
      <c r="C23" s="95" t="e">
        <f>SUM(C9:C22)</f>
        <v>#REF!</v>
      </c>
      <c r="D23" s="95">
        <f>SUM(D9:D22)</f>
        <v>2089201</v>
      </c>
      <c r="E23" s="95" t="e">
        <f>SUM(E9:E22)</f>
        <v>#REF!</v>
      </c>
      <c r="F23" s="287" t="e">
        <f>C23-D23</f>
        <v>#REF!</v>
      </c>
    </row>
    <row r="24" spans="2:6">
      <c r="B24" s="224" t="s">
        <v>14</v>
      </c>
      <c r="C24" s="6"/>
      <c r="D24" s="6"/>
      <c r="E24" s="6"/>
      <c r="F24" s="216"/>
    </row>
    <row r="25" spans="2:6">
      <c r="B25" s="225" t="s">
        <v>159</v>
      </c>
      <c r="C25" s="6"/>
      <c r="D25" s="6"/>
      <c r="E25" s="6"/>
      <c r="F25" s="216"/>
    </row>
    <row r="26" spans="2:6">
      <c r="B26" s="220" t="s">
        <v>5</v>
      </c>
      <c r="C26" s="12">
        <f>'cash flow'!E11</f>
        <v>0</v>
      </c>
      <c r="D26" s="12">
        <v>0</v>
      </c>
      <c r="E26" s="12">
        <f>C26-D26</f>
        <v>0</v>
      </c>
      <c r="F26" s="216"/>
    </row>
    <row r="27" spans="2:6">
      <c r="B27" s="225" t="s">
        <v>63</v>
      </c>
      <c r="C27" s="15">
        <f>'cash flow'!E12</f>
        <v>-68644.451000000001</v>
      </c>
      <c r="D27" s="15">
        <v>3407371</v>
      </c>
      <c r="E27" s="15">
        <f>C27-D27</f>
        <v>-3476015.4509999999</v>
      </c>
      <c r="F27" s="216"/>
    </row>
    <row r="28" spans="2:6">
      <c r="B28" s="225" t="s">
        <v>122</v>
      </c>
      <c r="C28" s="15">
        <f>'cash flow'!E15</f>
        <v>10000</v>
      </c>
      <c r="D28" s="15">
        <v>35266</v>
      </c>
      <c r="E28" s="15">
        <f>C28-D28</f>
        <v>-25266</v>
      </c>
      <c r="F28" s="216"/>
    </row>
    <row r="29" spans="2:6">
      <c r="B29" s="226" t="s">
        <v>169</v>
      </c>
      <c r="C29" s="17">
        <f>BS!H14-BS!F14</f>
        <v>-86726</v>
      </c>
      <c r="D29" s="17">
        <v>-98269</v>
      </c>
      <c r="E29" s="15">
        <f>C29-D29</f>
        <v>11543</v>
      </c>
      <c r="F29" s="216"/>
    </row>
    <row r="30" spans="2:6">
      <c r="B30" s="25"/>
      <c r="C30" s="95">
        <f>SUM(C26:C29)</f>
        <v>-145370.451</v>
      </c>
      <c r="D30" s="95">
        <f>SUM(D26:D29)</f>
        <v>3344368</v>
      </c>
      <c r="E30" s="95">
        <f>SUM(E26:E29)</f>
        <v>-3489738.4509999999</v>
      </c>
      <c r="F30" s="287">
        <f>C30-D30</f>
        <v>-3489738.4509999999</v>
      </c>
    </row>
    <row r="31" spans="2:6">
      <c r="B31" s="224" t="s">
        <v>84</v>
      </c>
      <c r="C31" s="13"/>
      <c r="D31" s="13"/>
      <c r="E31" s="13"/>
      <c r="F31" s="216"/>
    </row>
    <row r="32" spans="2:6">
      <c r="B32" s="225" t="s">
        <v>160</v>
      </c>
      <c r="C32" s="13"/>
      <c r="D32" s="13"/>
      <c r="E32" s="13"/>
      <c r="F32" s="216"/>
    </row>
    <row r="33" spans="2:7">
      <c r="B33" s="220" t="s">
        <v>11</v>
      </c>
      <c r="C33" s="12">
        <f>'cash flow'!E19</f>
        <v>109.98399999999992</v>
      </c>
      <c r="D33" s="12">
        <v>15010</v>
      </c>
      <c r="E33" s="12">
        <f>C33-D33</f>
        <v>-14900.016</v>
      </c>
      <c r="F33" s="216"/>
    </row>
    <row r="34" spans="2:7">
      <c r="B34" s="225" t="s">
        <v>161</v>
      </c>
      <c r="C34" s="15"/>
      <c r="D34" s="15"/>
      <c r="E34" s="15"/>
      <c r="F34" s="216"/>
    </row>
    <row r="35" spans="2:7">
      <c r="B35" s="220" t="s">
        <v>162</v>
      </c>
      <c r="C35" s="15">
        <f>'cash flow'!E22</f>
        <v>24.245999999999999</v>
      </c>
      <c r="D35" s="15">
        <v>-15993</v>
      </c>
      <c r="E35" s="15">
        <f>C35-D35</f>
        <v>16017.245999999999</v>
      </c>
      <c r="F35" s="216"/>
    </row>
    <row r="36" spans="2:7">
      <c r="B36" s="225" t="s">
        <v>91</v>
      </c>
      <c r="C36" s="17">
        <f>'cash flow'!E24</f>
        <v>346</v>
      </c>
      <c r="D36" s="17">
        <v>20451</v>
      </c>
      <c r="E36" s="17">
        <f>C36-D36</f>
        <v>-20105</v>
      </c>
      <c r="F36" s="216"/>
    </row>
    <row r="37" spans="2:7">
      <c r="B37" s="224"/>
      <c r="C37" s="13">
        <f>SUM(C33:C36)</f>
        <v>480.2299999999999</v>
      </c>
      <c r="D37" s="13">
        <f>SUM(D33:D36)</f>
        <v>19468</v>
      </c>
      <c r="E37" s="13">
        <f>SUM(E33:E36)</f>
        <v>-18987.77</v>
      </c>
      <c r="F37" s="216"/>
    </row>
    <row r="38" spans="2:7">
      <c r="B38" s="175" t="s">
        <v>99</v>
      </c>
      <c r="C38" s="13" t="e">
        <f>'cash flow'!#REF!</f>
        <v>#REF!</v>
      </c>
      <c r="D38" s="13">
        <v>-236683</v>
      </c>
      <c r="E38" s="13" t="e">
        <f>C38-D38</f>
        <v>#REF!</v>
      </c>
      <c r="F38" s="216"/>
    </row>
    <row r="39" spans="2:7">
      <c r="B39" s="227" t="s">
        <v>100</v>
      </c>
      <c r="C39" s="95" t="e">
        <f>C23+C30+C37+C38</f>
        <v>#REF!</v>
      </c>
      <c r="D39" s="95">
        <f>D23+D30+D37+D38</f>
        <v>5216354</v>
      </c>
      <c r="E39" s="95" t="e">
        <f>E23+E30+E37+E38</f>
        <v>#REF!</v>
      </c>
      <c r="F39" s="287" t="e">
        <f>C39-D39</f>
        <v>#REF!</v>
      </c>
      <c r="G39" s="285">
        <v>3900410</v>
      </c>
    </row>
    <row r="40" spans="2:7">
      <c r="B40" s="227"/>
      <c r="C40" s="13"/>
      <c r="D40" s="13"/>
      <c r="E40" s="13"/>
      <c r="F40" s="216"/>
    </row>
    <row r="41" spans="2:7">
      <c r="B41" s="227" t="s">
        <v>85</v>
      </c>
      <c r="C41" s="13"/>
      <c r="D41" s="13"/>
      <c r="E41" s="13"/>
      <c r="F41" s="216"/>
    </row>
    <row r="42" spans="2:7">
      <c r="B42" s="227"/>
      <c r="C42" s="13"/>
      <c r="D42" s="13"/>
      <c r="E42" s="13"/>
      <c r="F42" s="216"/>
    </row>
    <row r="43" spans="2:7">
      <c r="B43" s="78" t="s">
        <v>211</v>
      </c>
      <c r="C43" s="12">
        <f>'cash flow'!E30</f>
        <v>7542.5689999999995</v>
      </c>
      <c r="D43" s="12">
        <v>-5855964</v>
      </c>
      <c r="E43" s="12">
        <f>C43-D43</f>
        <v>5863506.5690000001</v>
      </c>
      <c r="F43" s="216"/>
    </row>
    <row r="44" spans="2:7">
      <c r="B44" s="78" t="s">
        <v>61</v>
      </c>
      <c r="C44" s="17" t="e">
        <f>'cash flow'!#REF!</f>
        <v>#REF!</v>
      </c>
      <c r="D44" s="17">
        <v>-3334611</v>
      </c>
      <c r="E44" s="17" t="e">
        <f>C44-D44</f>
        <v>#REF!</v>
      </c>
      <c r="F44" s="216"/>
    </row>
    <row r="45" spans="2:7">
      <c r="B45" s="228" t="s">
        <v>26</v>
      </c>
      <c r="C45" s="13" t="e">
        <f>SUM(C43:C44)</f>
        <v>#REF!</v>
      </c>
      <c r="D45" s="13">
        <f>SUM(D43:D44)</f>
        <v>-9190575</v>
      </c>
      <c r="E45" s="13" t="e">
        <f>SUM(E43:E44)</f>
        <v>#REF!</v>
      </c>
      <c r="F45" s="287" t="e">
        <f>C45-D45</f>
        <v>#REF!</v>
      </c>
    </row>
    <row r="46" spans="2:7">
      <c r="B46" s="191"/>
      <c r="C46" s="13"/>
      <c r="D46" s="13"/>
      <c r="E46" s="13"/>
      <c r="F46" s="216"/>
    </row>
    <row r="47" spans="2:7">
      <c r="B47" s="227" t="s">
        <v>27</v>
      </c>
      <c r="C47" s="13"/>
      <c r="D47" s="13"/>
      <c r="E47" s="13"/>
      <c r="F47" s="216"/>
    </row>
    <row r="48" spans="2:7">
      <c r="B48" s="229" t="s">
        <v>163</v>
      </c>
      <c r="C48" s="95" t="e">
        <f>C39+C45</f>
        <v>#REF!</v>
      </c>
      <c r="D48" s="95">
        <f>D39+D45</f>
        <v>-3974221</v>
      </c>
      <c r="E48" s="95" t="e">
        <f>E39+E45</f>
        <v>#REF!</v>
      </c>
      <c r="F48" s="287" t="e">
        <f>C48-D48</f>
        <v>#REF!</v>
      </c>
    </row>
    <row r="49" spans="2:6">
      <c r="B49" s="223"/>
      <c r="C49" s="13"/>
      <c r="D49" s="13"/>
      <c r="E49" s="13"/>
      <c r="F49" s="216"/>
    </row>
    <row r="50" spans="2:6">
      <c r="B50" s="78" t="s">
        <v>143</v>
      </c>
      <c r="C50" s="6">
        <f>'cash flow'!E36</f>
        <v>74247</v>
      </c>
      <c r="D50" s="6">
        <v>3400060</v>
      </c>
      <c r="E50" s="6">
        <f>D52</f>
        <v>-574161</v>
      </c>
      <c r="F50" s="216"/>
    </row>
    <row r="51" spans="2:6">
      <c r="B51" s="78"/>
      <c r="C51" s="6"/>
      <c r="D51" s="6"/>
      <c r="E51" s="6"/>
      <c r="F51" s="216"/>
    </row>
    <row r="52" spans="2:6" ht="12.75" thickBot="1">
      <c r="B52" s="227" t="s">
        <v>144</v>
      </c>
      <c r="C52" s="164" t="e">
        <f>C48+C50</f>
        <v>#REF!</v>
      </c>
      <c r="D52" s="164">
        <f>D48+D50</f>
        <v>-574161</v>
      </c>
      <c r="E52" s="164" t="e">
        <f>E48+E50</f>
        <v>#REF!</v>
      </c>
      <c r="F52" s="216"/>
    </row>
    <row r="53" spans="2:6" ht="12.75" thickTop="1">
      <c r="B53" s="78"/>
      <c r="C53" s="6"/>
      <c r="D53" s="6"/>
      <c r="E53" s="230"/>
      <c r="F53" s="216"/>
    </row>
    <row r="54" spans="2:6" hidden="1">
      <c r="B54" s="227" t="s">
        <v>144</v>
      </c>
      <c r="C54" s="6"/>
      <c r="D54" s="6"/>
      <c r="E54" s="230"/>
      <c r="F54" s="216"/>
    </row>
    <row r="55" spans="2:6" hidden="1">
      <c r="B55" s="4" t="s">
        <v>134</v>
      </c>
      <c r="C55" s="6">
        <f>'cash flow'!E41</f>
        <v>9222.741</v>
      </c>
      <c r="D55" s="13"/>
      <c r="E55" s="230"/>
      <c r="F55" s="216"/>
    </row>
    <row r="56" spans="2:6" hidden="1">
      <c r="B56" s="4" t="s">
        <v>138</v>
      </c>
      <c r="C56" s="6">
        <f>'cash flow'!E42</f>
        <v>-1199</v>
      </c>
      <c r="D56" s="13"/>
      <c r="E56" s="230"/>
      <c r="F56" s="216"/>
    </row>
    <row r="57" spans="2:6" ht="12.75" hidden="1" thickBot="1">
      <c r="B57" s="25"/>
      <c r="C57" s="21">
        <f>C55+C56</f>
        <v>8023.741</v>
      </c>
      <c r="D57" s="13"/>
      <c r="E57" s="230"/>
      <c r="F57" s="216"/>
    </row>
    <row r="58" spans="2:6">
      <c r="C58" s="216"/>
      <c r="D58" s="231"/>
      <c r="E58" s="216"/>
      <c r="F58" s="216"/>
    </row>
    <row r="59" spans="2:6">
      <c r="C59" s="287" t="e">
        <f>C52-BS!F10</f>
        <v>#REF!</v>
      </c>
      <c r="D59" s="232"/>
      <c r="E59" s="216"/>
      <c r="F59" s="216"/>
    </row>
    <row r="60" spans="2:6">
      <c r="C60" s="216"/>
      <c r="D60" s="232"/>
      <c r="E60" s="216"/>
      <c r="F60" s="216"/>
    </row>
    <row r="61" spans="2:6">
      <c r="C61" s="216"/>
      <c r="D61" s="232"/>
      <c r="E61" s="216"/>
      <c r="F61" s="216"/>
    </row>
    <row r="62" spans="2:6">
      <c r="C62" s="216"/>
      <c r="D62" s="232"/>
      <c r="E62" s="216"/>
      <c r="F62" s="216"/>
    </row>
    <row r="63" spans="2:6">
      <c r="C63" s="216"/>
      <c r="D63" s="232"/>
      <c r="E63" s="216"/>
      <c r="F63" s="216"/>
    </row>
    <row r="64" spans="2:6">
      <c r="C64" s="216"/>
      <c r="D64" s="232"/>
      <c r="E64" s="216"/>
      <c r="F64" s="216"/>
    </row>
    <row r="65" spans="3:6">
      <c r="C65" s="216"/>
      <c r="D65" s="216"/>
      <c r="E65" s="216"/>
      <c r="F65" s="216"/>
    </row>
    <row r="66" spans="3:6">
      <c r="C66" s="216"/>
      <c r="D66" s="216"/>
      <c r="E66" s="216"/>
      <c r="F66" s="216"/>
    </row>
    <row r="67" spans="3:6">
      <c r="C67" s="216"/>
      <c r="D67" s="216"/>
      <c r="E67" s="216"/>
      <c r="F67" s="216"/>
    </row>
    <row r="68" spans="3:6">
      <c r="C68" s="216"/>
      <c r="D68" s="216"/>
      <c r="E68" s="216"/>
      <c r="F68" s="216"/>
    </row>
    <row r="69" spans="3:6">
      <c r="C69" s="216"/>
      <c r="D69" s="216"/>
      <c r="E69" s="216"/>
      <c r="F69" s="216"/>
    </row>
    <row r="70" spans="3:6">
      <c r="C70" s="216"/>
      <c r="D70" s="216"/>
      <c r="E70" s="216"/>
      <c r="F70" s="216"/>
    </row>
    <row r="71" spans="3:6">
      <c r="C71" s="216"/>
      <c r="D71" s="216"/>
      <c r="E71" s="216"/>
      <c r="F71" s="216"/>
    </row>
    <row r="72" spans="3:6">
      <c r="C72" s="216"/>
      <c r="D72" s="216"/>
      <c r="E72" s="216"/>
      <c r="F72" s="216"/>
    </row>
    <row r="73" spans="3:6">
      <c r="C73" s="216"/>
      <c r="D73" s="216"/>
      <c r="E73" s="216"/>
      <c r="F73" s="216"/>
    </row>
    <row r="74" spans="3:6">
      <c r="C74" s="216"/>
      <c r="D74" s="216"/>
      <c r="E74" s="216"/>
      <c r="F74" s="216"/>
    </row>
    <row r="75" spans="3:6">
      <c r="C75" s="216"/>
      <c r="D75" s="216"/>
      <c r="E75" s="216"/>
      <c r="F75" s="216"/>
    </row>
    <row r="76" spans="3:6">
      <c r="C76" s="216"/>
      <c r="D76" s="216"/>
      <c r="E76" s="216"/>
      <c r="F76" s="216"/>
    </row>
    <row r="77" spans="3:6">
      <c r="C77" s="216"/>
      <c r="D77" s="216"/>
      <c r="E77" s="216"/>
      <c r="F77" s="216"/>
    </row>
    <row r="78" spans="3:6">
      <c r="C78" s="216"/>
      <c r="D78" s="216"/>
      <c r="E78" s="216"/>
      <c r="F78" s="216"/>
    </row>
    <row r="79" spans="3:6">
      <c r="C79" s="216"/>
      <c r="D79" s="216"/>
      <c r="E79" s="216"/>
      <c r="F79" s="216"/>
    </row>
  </sheetData>
  <customSheetViews>
    <customSheetView guid="{84FBBE83-FF6F-4C76-A58E-D04643F715A5}" showPageBreaks="1" printArea="1" hiddenRows="1" view="pageBreakPreview" topLeftCell="A37">
      <selection activeCell="C16" sqref="C16"/>
      <colBreaks count="1" manualBreakCount="1">
        <brk id="5" max="1048575" man="1"/>
      </colBreaks>
      <pageMargins left="0.38" right="0.37" top="0.65" bottom="1" header="0.5" footer="0.5"/>
      <pageSetup paperSize="9" scale="80" orientation="portrait" r:id="rId1"/>
      <headerFooter alignWithMargins="0"/>
    </customSheetView>
  </customSheetViews>
  <mergeCells count="1">
    <mergeCell ref="C7:E7"/>
  </mergeCells>
  <phoneticPr fontId="23" type="noConversion"/>
  <pageMargins left="0.38" right="0.37" top="0.65" bottom="1" header="0.5" footer="0.5"/>
  <pageSetup paperSize="9" scale="80" orientation="portrait" r:id="rId2"/>
  <headerFooter alignWithMargins="0"/>
  <colBreaks count="1" manualBreakCount="1">
    <brk id="5" max="1048575" man="1"/>
  </colBreaks>
  <ignoredErrors>
    <ignoredError sqref="E37" formula="1"/>
  </ignoredErrors>
</worksheet>
</file>

<file path=xl/worksheets/sheet14.xml><?xml version="1.0" encoding="utf-8"?>
<worksheet xmlns="http://schemas.openxmlformats.org/spreadsheetml/2006/main" xmlns:r="http://schemas.openxmlformats.org/officeDocument/2006/relationships">
  <sheetPr>
    <tabColor indexed="17"/>
  </sheetPr>
  <dimension ref="A1:H52"/>
  <sheetViews>
    <sheetView workbookViewId="0">
      <selection activeCell="J21" sqref="J21"/>
    </sheetView>
  </sheetViews>
  <sheetFormatPr defaultRowHeight="15.75"/>
  <cols>
    <col min="1" max="1" width="3.625" style="305" customWidth="1"/>
    <col min="2" max="2" width="37.125" style="305" customWidth="1"/>
    <col min="3" max="3" width="9.125" style="305" customWidth="1"/>
    <col min="4" max="4" width="1.5" style="305" customWidth="1"/>
    <col min="5" max="5" width="9.375" style="305" customWidth="1"/>
    <col min="6" max="6" width="1.5" style="305" customWidth="1"/>
    <col min="7" max="7" width="9.125" style="305" customWidth="1"/>
    <col min="8" max="8" width="1.5" style="305" customWidth="1"/>
    <col min="9" max="16384" width="9" style="305"/>
  </cols>
  <sheetData>
    <row r="1" spans="1:8">
      <c r="A1" s="18" t="s">
        <v>15</v>
      </c>
      <c r="B1" s="301"/>
      <c r="C1" s="302"/>
      <c r="D1" s="302"/>
      <c r="E1" s="303"/>
      <c r="F1" s="304"/>
      <c r="G1" s="304"/>
      <c r="H1" s="304"/>
    </row>
    <row r="2" spans="1:8">
      <c r="A2" s="303" t="str">
        <f>[47]UHF!A3</f>
        <v>FOR THE HALF YEAR AND QUARTER ENDED DECEMBER 31, 2011</v>
      </c>
      <c r="B2" s="303"/>
      <c r="C2" s="302"/>
      <c r="D2" s="302"/>
      <c r="E2" s="306"/>
      <c r="F2" s="304"/>
      <c r="G2" s="304"/>
      <c r="H2" s="304"/>
    </row>
    <row r="3" spans="1:8">
      <c r="A3" s="2" t="s">
        <v>174</v>
      </c>
      <c r="B3" s="303"/>
      <c r="C3" s="302"/>
      <c r="D3" s="302"/>
      <c r="E3" s="303"/>
      <c r="F3" s="304"/>
      <c r="G3" s="304"/>
      <c r="H3" s="304"/>
    </row>
    <row r="4" spans="1:8">
      <c r="B4" s="303"/>
      <c r="C4" s="302"/>
      <c r="D4" s="302"/>
      <c r="E4" s="303"/>
      <c r="F4" s="304"/>
      <c r="G4" s="304"/>
      <c r="H4" s="304"/>
    </row>
    <row r="5" spans="1:8">
      <c r="A5" s="303"/>
      <c r="B5" s="303"/>
      <c r="C5" s="302"/>
      <c r="D5" s="302"/>
      <c r="E5" s="303"/>
      <c r="F5" s="304"/>
      <c r="G5" s="304"/>
      <c r="H5" s="304"/>
    </row>
    <row r="6" spans="1:8">
      <c r="A6" s="303"/>
      <c r="B6" s="303"/>
      <c r="C6" s="779" t="s">
        <v>175</v>
      </c>
      <c r="D6" s="307"/>
      <c r="E6" s="779" t="s">
        <v>176</v>
      </c>
      <c r="F6" s="308"/>
      <c r="G6" s="782" t="s">
        <v>177</v>
      </c>
      <c r="H6" s="304"/>
    </row>
    <row r="7" spans="1:8">
      <c r="A7" s="303"/>
      <c r="B7" s="303"/>
      <c r="C7" s="780"/>
      <c r="D7" s="309"/>
      <c r="E7" s="780"/>
      <c r="F7" s="310"/>
      <c r="G7" s="783"/>
      <c r="H7" s="304"/>
    </row>
    <row r="8" spans="1:8">
      <c r="A8" s="303"/>
      <c r="B8" s="303"/>
      <c r="C8" s="780"/>
      <c r="D8" s="309"/>
      <c r="E8" s="780"/>
      <c r="F8" s="310"/>
      <c r="G8" s="783"/>
      <c r="H8" s="304"/>
    </row>
    <row r="9" spans="1:8">
      <c r="A9" s="311"/>
      <c r="B9" s="312"/>
      <c r="C9" s="781"/>
      <c r="D9" s="313"/>
      <c r="E9" s="781"/>
      <c r="F9" s="314"/>
      <c r="G9" s="784"/>
      <c r="H9" s="315"/>
    </row>
    <row r="10" spans="1:8">
      <c r="A10" s="316"/>
      <c r="B10" s="316"/>
      <c r="C10" s="317" t="s">
        <v>178</v>
      </c>
      <c r="D10" s="318"/>
      <c r="E10" s="317" t="s">
        <v>179</v>
      </c>
      <c r="F10" s="319"/>
      <c r="G10" s="317" t="s">
        <v>180</v>
      </c>
      <c r="H10" s="320"/>
    </row>
    <row r="11" spans="1:8">
      <c r="A11" s="321"/>
      <c r="B11" s="322"/>
      <c r="C11" s="785" t="s">
        <v>198</v>
      </c>
      <c r="D11" s="785"/>
      <c r="E11" s="785"/>
      <c r="F11" s="785"/>
      <c r="G11" s="785"/>
      <c r="H11" s="785"/>
    </row>
    <row r="13" spans="1:8">
      <c r="A13" s="323" t="s">
        <v>181</v>
      </c>
    </row>
    <row r="14" spans="1:8">
      <c r="A14" s="324" t="s">
        <v>11</v>
      </c>
    </row>
    <row r="15" spans="1:8">
      <c r="A15" s="325" t="s">
        <v>186</v>
      </c>
      <c r="C15" s="121">
        <v>179542</v>
      </c>
      <c r="E15" s="121">
        <v>179542</v>
      </c>
      <c r="G15" s="121">
        <f>C15-E15</f>
        <v>0</v>
      </c>
    </row>
    <row r="16" spans="1:8">
      <c r="A16" s="325" t="s">
        <v>79</v>
      </c>
      <c r="C16" s="121" t="e">
        <f>'cash flow'!#REF!</f>
        <v>#REF!</v>
      </c>
      <c r="D16" s="121"/>
      <c r="E16" s="121">
        <f>'Qtr - PnL'!G26</f>
        <v>243213</v>
      </c>
      <c r="F16" s="121"/>
      <c r="G16" s="121" t="e">
        <f>C16-E16</f>
        <v>#REF!</v>
      </c>
    </row>
    <row r="17" spans="1:7">
      <c r="A17" s="325" t="s">
        <v>197</v>
      </c>
      <c r="C17" s="121" t="e">
        <f>'cash flow'!#REF!</f>
        <v>#REF!</v>
      </c>
      <c r="D17" s="121"/>
      <c r="E17" s="121">
        <f>'Qtr - PnL'!G27</f>
        <v>45801</v>
      </c>
      <c r="F17" s="121"/>
      <c r="G17" s="121" t="e">
        <f>C17-E17</f>
        <v>#REF!</v>
      </c>
    </row>
    <row r="18" spans="1:7">
      <c r="A18" s="325" t="s">
        <v>104</v>
      </c>
      <c r="C18" s="121">
        <v>6057</v>
      </c>
      <c r="D18" s="121"/>
      <c r="E18" s="121">
        <v>3210</v>
      </c>
      <c r="F18" s="121"/>
      <c r="G18" s="121">
        <f>C18-E18</f>
        <v>2847</v>
      </c>
    </row>
    <row r="19" spans="1:7">
      <c r="A19" s="326"/>
      <c r="C19" s="121"/>
      <c r="D19" s="121"/>
      <c r="E19" s="121"/>
      <c r="F19" s="121"/>
      <c r="G19" s="121"/>
    </row>
    <row r="20" spans="1:7">
      <c r="A20" s="323" t="s">
        <v>113</v>
      </c>
      <c r="C20" s="121"/>
      <c r="D20" s="121"/>
      <c r="E20" s="121"/>
      <c r="F20" s="121"/>
      <c r="G20" s="121"/>
    </row>
    <row r="21" spans="1:7">
      <c r="A21" s="325" t="s">
        <v>183</v>
      </c>
      <c r="C21" s="121">
        <v>11588</v>
      </c>
      <c r="D21" s="121"/>
      <c r="E21" s="121">
        <v>6824</v>
      </c>
      <c r="F21" s="121"/>
      <c r="G21" s="121">
        <f t="shared" ref="G21:G26" si="0">C21-E21</f>
        <v>4764</v>
      </c>
    </row>
    <row r="22" spans="1:7">
      <c r="A22" s="325" t="s">
        <v>182</v>
      </c>
      <c r="C22" s="121">
        <v>0</v>
      </c>
      <c r="D22" s="121"/>
      <c r="E22" s="121">
        <v>0</v>
      </c>
      <c r="F22" s="121"/>
      <c r="G22" s="121">
        <f t="shared" si="0"/>
        <v>0</v>
      </c>
    </row>
    <row r="23" spans="1:7">
      <c r="A23" s="325"/>
      <c r="C23" s="121"/>
      <c r="D23" s="121"/>
      <c r="E23" s="121"/>
      <c r="F23" s="121"/>
      <c r="G23" s="121"/>
    </row>
    <row r="24" spans="1:7">
      <c r="A24" s="276" t="s">
        <v>16</v>
      </c>
      <c r="C24" s="121"/>
      <c r="D24" s="121"/>
      <c r="E24" s="121"/>
      <c r="F24" s="121"/>
      <c r="G24" s="121"/>
    </row>
    <row r="25" spans="1:7">
      <c r="A25" s="325" t="s">
        <v>166</v>
      </c>
      <c r="C25" s="121">
        <v>0</v>
      </c>
      <c r="D25" s="121"/>
      <c r="E25" s="121">
        <v>0</v>
      </c>
      <c r="F25" s="121"/>
      <c r="G25" s="121">
        <f t="shared" si="0"/>
        <v>0</v>
      </c>
    </row>
    <row r="26" spans="1:7">
      <c r="A26" s="325" t="s">
        <v>168</v>
      </c>
      <c r="C26" s="121">
        <v>1747</v>
      </c>
      <c r="D26" s="121"/>
      <c r="E26" s="121">
        <v>1747</v>
      </c>
      <c r="F26" s="121"/>
      <c r="G26" s="121">
        <f t="shared" si="0"/>
        <v>0</v>
      </c>
    </row>
    <row r="27" spans="1:7">
      <c r="A27" s="325" t="s">
        <v>167</v>
      </c>
      <c r="C27" s="121"/>
      <c r="D27" s="121"/>
      <c r="E27" s="121"/>
      <c r="F27" s="121"/>
      <c r="G27" s="121"/>
    </row>
    <row r="28" spans="1:7">
      <c r="A28" s="225"/>
      <c r="C28" s="121"/>
      <c r="D28" s="121"/>
      <c r="E28" s="121"/>
      <c r="F28" s="121"/>
      <c r="G28" s="121"/>
    </row>
    <row r="29" spans="1:7">
      <c r="A29" s="323" t="s">
        <v>149</v>
      </c>
      <c r="C29" s="121"/>
      <c r="D29" s="121"/>
      <c r="E29" s="121"/>
      <c r="F29" s="121"/>
      <c r="G29" s="121"/>
    </row>
    <row r="30" spans="1:7">
      <c r="A30" s="325" t="s">
        <v>166</v>
      </c>
      <c r="C30" s="121">
        <v>0</v>
      </c>
      <c r="D30" s="121"/>
      <c r="E30" s="121">
        <v>0</v>
      </c>
      <c r="F30" s="121"/>
      <c r="G30" s="121">
        <f>C30-E30</f>
        <v>0</v>
      </c>
    </row>
    <row r="31" spans="1:7">
      <c r="A31" s="325" t="s">
        <v>184</v>
      </c>
      <c r="C31" s="121">
        <v>212</v>
      </c>
      <c r="D31" s="121"/>
      <c r="E31" s="121">
        <v>212</v>
      </c>
      <c r="F31" s="121"/>
      <c r="G31" s="121">
        <f>C31-E31</f>
        <v>0</v>
      </c>
    </row>
    <row r="32" spans="1:7">
      <c r="A32" s="325" t="s">
        <v>7</v>
      </c>
      <c r="C32" s="121">
        <v>0</v>
      </c>
      <c r="D32" s="121"/>
      <c r="E32" s="121">
        <v>0</v>
      </c>
      <c r="F32" s="121"/>
      <c r="G32" s="121">
        <f>C32-E32</f>
        <v>0</v>
      </c>
    </row>
    <row r="33" spans="1:7">
      <c r="A33" s="323"/>
      <c r="C33" s="121"/>
      <c r="D33" s="121"/>
      <c r="E33" s="121"/>
      <c r="F33" s="121"/>
      <c r="G33" s="121"/>
    </row>
    <row r="34" spans="1:7">
      <c r="A34" s="323" t="s">
        <v>150</v>
      </c>
      <c r="C34" s="121"/>
      <c r="D34" s="121"/>
      <c r="E34" s="121"/>
      <c r="F34" s="121"/>
      <c r="G34" s="121"/>
    </row>
    <row r="35" spans="1:7">
      <c r="A35" s="325" t="s">
        <v>166</v>
      </c>
      <c r="C35" s="121">
        <v>0</v>
      </c>
      <c r="D35" s="121"/>
      <c r="E35" s="121">
        <v>0</v>
      </c>
      <c r="F35" s="121"/>
      <c r="G35" s="121">
        <f>C35-E35</f>
        <v>0</v>
      </c>
    </row>
    <row r="36" spans="1:7">
      <c r="A36" s="325" t="s">
        <v>185</v>
      </c>
      <c r="C36" s="121">
        <v>1114</v>
      </c>
      <c r="D36" s="121"/>
      <c r="E36" s="121">
        <v>1114</v>
      </c>
      <c r="F36" s="121"/>
      <c r="G36" s="121">
        <f>C36-E36</f>
        <v>0</v>
      </c>
    </row>
    <row r="37" spans="1:7">
      <c r="A37" s="325" t="s">
        <v>7</v>
      </c>
      <c r="C37" s="121">
        <v>0</v>
      </c>
      <c r="D37" s="121"/>
      <c r="E37" s="121">
        <v>0</v>
      </c>
      <c r="F37" s="121"/>
      <c r="G37" s="121">
        <f>C37-E37</f>
        <v>0</v>
      </c>
    </row>
    <row r="38" spans="1:7">
      <c r="A38" s="323"/>
      <c r="C38" s="121"/>
      <c r="D38" s="121"/>
      <c r="E38" s="121"/>
      <c r="F38" s="121"/>
      <c r="G38" s="121"/>
    </row>
    <row r="39" spans="1:7">
      <c r="A39" s="323"/>
      <c r="C39" s="121"/>
      <c r="D39" s="121"/>
      <c r="E39" s="121"/>
      <c r="F39" s="121"/>
      <c r="G39" s="121"/>
    </row>
    <row r="40" spans="1:7">
      <c r="A40" s="325"/>
      <c r="C40" s="121"/>
      <c r="D40" s="121"/>
      <c r="E40" s="121"/>
      <c r="F40" s="121"/>
      <c r="G40" s="121"/>
    </row>
    <row r="41" spans="1:7">
      <c r="A41" s="325"/>
      <c r="C41" s="121"/>
      <c r="D41" s="121"/>
      <c r="E41" s="121"/>
      <c r="F41" s="121"/>
      <c r="G41" s="121"/>
    </row>
    <row r="42" spans="1:7">
      <c r="A42" s="325"/>
      <c r="C42" s="121"/>
      <c r="D42" s="121"/>
      <c r="E42" s="121"/>
      <c r="F42" s="121"/>
      <c r="G42" s="121"/>
    </row>
    <row r="43" spans="1:7">
      <c r="A43" s="325"/>
      <c r="C43" s="121"/>
      <c r="D43" s="121"/>
      <c r="E43" s="121"/>
      <c r="F43" s="121"/>
      <c r="G43" s="121"/>
    </row>
    <row r="44" spans="1:7">
      <c r="A44" s="327"/>
      <c r="C44" s="121"/>
      <c r="D44" s="121"/>
      <c r="E44" s="121"/>
      <c r="F44" s="121"/>
      <c r="G44" s="121"/>
    </row>
    <row r="45" spans="1:7">
      <c r="A45" s="323"/>
      <c r="C45" s="121"/>
      <c r="D45" s="121"/>
      <c r="E45" s="121"/>
      <c r="F45" s="121"/>
      <c r="G45" s="121"/>
    </row>
    <row r="46" spans="1:7">
      <c r="A46" s="325"/>
      <c r="C46" s="121"/>
      <c r="D46" s="121"/>
      <c r="E46" s="121"/>
      <c r="F46" s="121"/>
      <c r="G46" s="121"/>
    </row>
    <row r="47" spans="1:7">
      <c r="A47" s="325"/>
      <c r="C47" s="121"/>
      <c r="D47" s="121"/>
      <c r="E47" s="121"/>
      <c r="F47" s="121"/>
      <c r="G47" s="121"/>
    </row>
    <row r="48" spans="1:7">
      <c r="A48" s="325"/>
      <c r="C48" s="121"/>
      <c r="D48" s="121"/>
      <c r="E48" s="121"/>
      <c r="F48" s="121"/>
      <c r="G48" s="121"/>
    </row>
    <row r="49" spans="1:7">
      <c r="A49" s="323"/>
      <c r="C49" s="121"/>
      <c r="D49" s="121"/>
      <c r="E49" s="121"/>
      <c r="F49" s="121"/>
      <c r="G49" s="121"/>
    </row>
    <row r="50" spans="1:7">
      <c r="A50" s="325"/>
      <c r="C50" s="121"/>
      <c r="D50" s="121"/>
      <c r="E50" s="121"/>
      <c r="F50" s="121"/>
      <c r="G50" s="121"/>
    </row>
    <row r="51" spans="1:7">
      <c r="A51" s="325"/>
      <c r="C51" s="121"/>
      <c r="D51" s="121"/>
      <c r="E51" s="121"/>
      <c r="F51" s="121"/>
      <c r="G51" s="121"/>
    </row>
    <row r="52" spans="1:7">
      <c r="C52" s="328"/>
      <c r="D52" s="328"/>
      <c r="E52" s="328"/>
      <c r="F52" s="328"/>
      <c r="G52" s="328"/>
    </row>
  </sheetData>
  <customSheetViews>
    <customSheetView guid="{84FBBE83-FF6F-4C76-A58E-D04643F715A5}">
      <selection activeCell="C15" sqref="C15"/>
      <pageMargins left="0.7" right="0.7" top="0.75" bottom="0.75" header="0.3" footer="0.3"/>
      <pageSetup scale="110" orientation="portrait" r:id="rId1"/>
    </customSheetView>
  </customSheetViews>
  <mergeCells count="4">
    <mergeCell ref="C6:C9"/>
    <mergeCell ref="E6:E9"/>
    <mergeCell ref="G6:G9"/>
    <mergeCell ref="C11:H11"/>
  </mergeCells>
  <conditionalFormatting sqref="E2">
    <cfRule type="cellIs" dxfId="0" priority="1" stopIfTrue="1" operator="notEqual">
      <formula>0</formula>
    </cfRule>
  </conditionalFormatting>
  <pageMargins left="0.7" right="0.7" top="0.75" bottom="0.75" header="0.3" footer="0.3"/>
  <pageSetup scale="110" orientation="portrait" r:id="rId2"/>
</worksheet>
</file>

<file path=xl/worksheets/sheet15.xml><?xml version="1.0" encoding="utf-8"?>
<worksheet xmlns="http://schemas.openxmlformats.org/spreadsheetml/2006/main" xmlns:r="http://schemas.openxmlformats.org/officeDocument/2006/relationships">
  <sheetPr codeName="Sheet19" enableFormatConditionsCalculation="0">
    <tabColor indexed="31"/>
  </sheetPr>
  <dimension ref="A1:K104"/>
  <sheetViews>
    <sheetView view="pageBreakPreview" topLeftCell="A16" zoomScaleNormal="75" zoomScaleSheetLayoutView="100" workbookViewId="0">
      <selection activeCell="D27" sqref="D27"/>
    </sheetView>
  </sheetViews>
  <sheetFormatPr defaultRowHeight="12"/>
  <cols>
    <col min="1" max="1" width="42" style="6" customWidth="1"/>
    <col min="2" max="2" width="29" style="6" hidden="1" customWidth="1"/>
    <col min="3" max="3" width="12" style="6" hidden="1" customWidth="1"/>
    <col min="4" max="4" width="16.5" style="6" customWidth="1"/>
    <col min="5" max="5" width="2.5" style="13" customWidth="1"/>
    <col min="6" max="6" width="16.125" style="6" customWidth="1"/>
    <col min="7" max="7" width="0.125" style="6" customWidth="1"/>
    <col min="8" max="8" width="11.75" style="6" hidden="1" customWidth="1"/>
    <col min="9" max="9" width="14.625" style="6" hidden="1" customWidth="1"/>
    <col min="10" max="10" width="9" style="6"/>
    <col min="11" max="11" width="14.5" style="6" bestFit="1" customWidth="1"/>
    <col min="12" max="16384" width="9" style="6"/>
  </cols>
  <sheetData>
    <row r="1" spans="1:10">
      <c r="A1" s="18" t="s">
        <v>15</v>
      </c>
    </row>
    <row r="2" spans="1:10">
      <c r="A2" s="18" t="s">
        <v>120</v>
      </c>
    </row>
    <row r="3" spans="1:10">
      <c r="A3" s="87" t="s">
        <v>210</v>
      </c>
    </row>
    <row r="5" spans="1:10" s="18" customFormat="1" ht="12.75" thickBot="1">
      <c r="D5" s="295" t="s">
        <v>236</v>
      </c>
      <c r="E5" s="214"/>
      <c r="F5" s="163">
        <v>2009</v>
      </c>
      <c r="H5" s="18">
        <v>2009</v>
      </c>
    </row>
    <row r="6" spans="1:10" s="18" customFormat="1" ht="15" customHeight="1">
      <c r="D6" s="296" t="s">
        <v>171</v>
      </c>
      <c r="E6" s="213"/>
      <c r="F6" s="212"/>
    </row>
    <row r="7" spans="1:10">
      <c r="A7" s="18" t="s">
        <v>169</v>
      </c>
    </row>
    <row r="8" spans="1:10">
      <c r="A8" s="18"/>
      <c r="J8" s="215"/>
    </row>
    <row r="9" spans="1:10">
      <c r="A9" s="6" t="s">
        <v>64</v>
      </c>
      <c r="D9" s="6">
        <v>14726</v>
      </c>
      <c r="F9" s="6">
        <v>206975</v>
      </c>
      <c r="H9" s="6">
        <v>32478</v>
      </c>
    </row>
    <row r="10" spans="1:10">
      <c r="A10" s="6" t="s">
        <v>65</v>
      </c>
      <c r="D10" s="6">
        <f>BS!F14</f>
        <v>86726</v>
      </c>
      <c r="F10" s="6">
        <v>39858</v>
      </c>
      <c r="H10" s="6">
        <f>D10</f>
        <v>86726</v>
      </c>
    </row>
    <row r="11" spans="1:10" ht="12.75" thickBot="1">
      <c r="D11" s="164">
        <f>D9-D10</f>
        <v>-72000</v>
      </c>
      <c r="E11" s="42"/>
      <c r="F11" s="164">
        <f>F9-F10</f>
        <v>167117</v>
      </c>
      <c r="H11" s="124">
        <f>H9-H10</f>
        <v>-54248</v>
      </c>
    </row>
    <row r="12" spans="1:10" ht="12.75" thickTop="1">
      <c r="D12" s="42"/>
      <c r="E12" s="42"/>
      <c r="F12" s="42"/>
    </row>
    <row r="13" spans="1:10">
      <c r="A13" s="18" t="s">
        <v>54</v>
      </c>
    </row>
    <row r="14" spans="1:10">
      <c r="A14" s="6" t="s">
        <v>64</v>
      </c>
      <c r="D14" s="6">
        <v>2600</v>
      </c>
      <c r="F14" s="6">
        <v>2500</v>
      </c>
      <c r="H14" s="6">
        <f>D14</f>
        <v>2600</v>
      </c>
    </row>
    <row r="15" spans="1:10">
      <c r="A15" s="6" t="s">
        <v>65</v>
      </c>
      <c r="D15" s="6">
        <f>BS!F16</f>
        <v>0</v>
      </c>
      <c r="F15" s="6">
        <v>2500</v>
      </c>
      <c r="H15" s="6">
        <f>D15</f>
        <v>0</v>
      </c>
    </row>
    <row r="16" spans="1:10" ht="12.75" thickBot="1">
      <c r="D16" s="164">
        <f>D14-D15</f>
        <v>2600</v>
      </c>
      <c r="E16" s="42"/>
      <c r="F16" s="164">
        <f>F14-F15</f>
        <v>0</v>
      </c>
      <c r="H16" s="124">
        <f>H14-H15</f>
        <v>2600</v>
      </c>
    </row>
    <row r="17" spans="1:11" ht="12.75" thickTop="1">
      <c r="A17" s="18"/>
    </row>
    <row r="18" spans="1:11" ht="12" customHeight="1">
      <c r="A18" s="18" t="s">
        <v>86</v>
      </c>
    </row>
    <row r="19" spans="1:11" ht="12" customHeight="1">
      <c r="A19" s="6" t="s">
        <v>64</v>
      </c>
      <c r="D19" s="6">
        <f>52051+16597+50000</f>
        <v>118648</v>
      </c>
      <c r="F19" s="6">
        <f>195645-2500</f>
        <v>193145</v>
      </c>
      <c r="H19" s="6">
        <v>352256</v>
      </c>
      <c r="I19" s="162"/>
    </row>
    <row r="20" spans="1:11" ht="12" customHeight="1">
      <c r="A20" s="6" t="s">
        <v>87</v>
      </c>
      <c r="D20" s="48">
        <v>0</v>
      </c>
      <c r="F20" s="48" t="e">
        <f>-'P&amp;L'!#REF!</f>
        <v>#REF!</v>
      </c>
      <c r="H20" s="6" t="e">
        <f>-'P&amp;L'!#REF!</f>
        <v>#REF!</v>
      </c>
      <c r="I20" s="6" t="e">
        <f>'P&amp;L'!#REF!</f>
        <v>#REF!</v>
      </c>
    </row>
    <row r="21" spans="1:11" ht="12" customHeight="1">
      <c r="D21" s="6">
        <f>SUM(D19:D20)</f>
        <v>118648</v>
      </c>
      <c r="F21" s="6" t="e">
        <f>F19+F20</f>
        <v>#REF!</v>
      </c>
      <c r="H21" s="95" t="e">
        <f>SUM(H19:H20)</f>
        <v>#REF!</v>
      </c>
      <c r="I21" s="95" t="e">
        <f>SUM(I19:I20)</f>
        <v>#REF!</v>
      </c>
    </row>
    <row r="22" spans="1:11" ht="12" customHeight="1">
      <c r="A22" s="6" t="s">
        <v>65</v>
      </c>
      <c r="D22" s="6" t="e">
        <f>#REF!+#REF!+#REF!</f>
        <v>#REF!</v>
      </c>
      <c r="F22" s="6">
        <f>228656-2500</f>
        <v>226156</v>
      </c>
      <c r="H22" s="6" t="e">
        <f>D22</f>
        <v>#REF!</v>
      </c>
      <c r="I22" s="6">
        <f>F22</f>
        <v>226156</v>
      </c>
    </row>
    <row r="23" spans="1:11" ht="12" customHeight="1" thickBot="1">
      <c r="D23" s="164" t="e">
        <f>D22-D21</f>
        <v>#REF!</v>
      </c>
      <c r="E23" s="42"/>
      <c r="F23" s="164" t="e">
        <f>F22-F21</f>
        <v>#REF!</v>
      </c>
      <c r="H23" s="124" t="e">
        <f>H22-H21</f>
        <v>#REF!</v>
      </c>
      <c r="I23" s="124" t="e">
        <f>I22-I21</f>
        <v>#REF!</v>
      </c>
    </row>
    <row r="24" spans="1:11" ht="12" customHeight="1" thickTop="1">
      <c r="A24" s="18"/>
    </row>
    <row r="25" spans="1:11" ht="12" customHeight="1">
      <c r="A25" s="18" t="s">
        <v>88</v>
      </c>
      <c r="K25" s="211"/>
    </row>
    <row r="26" spans="1:11" ht="12" customHeight="1">
      <c r="A26" s="6" t="s">
        <v>64</v>
      </c>
      <c r="D26" s="6">
        <f>BS!H11</f>
        <v>97014.728000000003</v>
      </c>
      <c r="F26" s="6">
        <v>45870924</v>
      </c>
      <c r="H26" s="6">
        <v>33040882</v>
      </c>
      <c r="K26" s="211">
        <v>29464973</v>
      </c>
    </row>
    <row r="27" spans="1:11" ht="12" customHeight="1">
      <c r="A27" s="6" t="s">
        <v>65</v>
      </c>
      <c r="D27" s="6">
        <f>BS!F11</f>
        <v>97014.728000000003</v>
      </c>
      <c r="F27" s="48">
        <v>27060689</v>
      </c>
      <c r="H27" s="6">
        <f>D27</f>
        <v>97014.728000000003</v>
      </c>
      <c r="K27" s="211">
        <v>36605465.496520005</v>
      </c>
    </row>
    <row r="28" spans="1:11" ht="12" customHeight="1">
      <c r="A28" s="6" t="s">
        <v>173</v>
      </c>
      <c r="D28" s="95">
        <f>D26-D27</f>
        <v>0</v>
      </c>
      <c r="F28" s="6">
        <f>F26-F27</f>
        <v>18810235</v>
      </c>
      <c r="H28" s="95">
        <f>H26-H27</f>
        <v>32943867.272</v>
      </c>
      <c r="K28" s="211">
        <v>-7140492.4965200052</v>
      </c>
    </row>
    <row r="29" spans="1:11" ht="12" hidden="1" customHeight="1">
      <c r="A29" s="6" t="s">
        <v>6</v>
      </c>
      <c r="D29" s="6">
        <v>0</v>
      </c>
      <c r="F29" s="6">
        <v>0</v>
      </c>
      <c r="H29" s="6">
        <v>0</v>
      </c>
      <c r="K29" s="211">
        <v>0</v>
      </c>
    </row>
    <row r="30" spans="1:11" ht="12" customHeight="1">
      <c r="A30" s="6" t="s">
        <v>108</v>
      </c>
      <c r="D30" s="6">
        <f>'P&amp;L'!E21</f>
        <v>0</v>
      </c>
      <c r="F30" s="6">
        <f>'P&amp;L'!G21</f>
        <v>0</v>
      </c>
      <c r="G30" s="6">
        <f>F26-F34</f>
        <v>44953221</v>
      </c>
      <c r="H30" s="6" t="e">
        <f>'P&amp;L'!#REF!</f>
        <v>#REF!</v>
      </c>
      <c r="K30" s="211">
        <v>382213</v>
      </c>
    </row>
    <row r="31" spans="1:11" ht="12" customHeight="1">
      <c r="A31" s="6" t="s">
        <v>117</v>
      </c>
      <c r="D31" s="6">
        <f>UHF!L17</f>
        <v>2385.277</v>
      </c>
      <c r="F31" s="6">
        <v>-2497345</v>
      </c>
      <c r="G31" s="6">
        <f>G30+F31+F30</f>
        <v>42455876</v>
      </c>
      <c r="H31" s="6" t="e">
        <f>#REF!</f>
        <v>#REF!</v>
      </c>
      <c r="K31" s="211">
        <v>5116045</v>
      </c>
    </row>
    <row r="32" spans="1:11" ht="12" hidden="1" customHeight="1">
      <c r="A32" s="6" t="s">
        <v>73</v>
      </c>
      <c r="D32" s="6">
        <v>0</v>
      </c>
      <c r="F32" s="6">
        <v>0</v>
      </c>
      <c r="H32" s="6">
        <v>0</v>
      </c>
      <c r="K32" s="211">
        <v>0</v>
      </c>
    </row>
    <row r="33" spans="1:11" ht="12" customHeight="1">
      <c r="A33" s="6" t="s">
        <v>6</v>
      </c>
      <c r="D33" s="6">
        <f>-'P&amp;L'!E24</f>
        <v>-7073.7520000000004</v>
      </c>
      <c r="F33" s="6">
        <f>-15395187</f>
        <v>-15395187</v>
      </c>
      <c r="K33" s="211">
        <v>-115307</v>
      </c>
    </row>
    <row r="34" spans="1:11" ht="12" customHeight="1" thickBot="1">
      <c r="A34" s="18"/>
      <c r="D34" s="164">
        <f>SUM(D28:D33)</f>
        <v>-4688.4750000000004</v>
      </c>
      <c r="E34" s="42"/>
      <c r="F34" s="168">
        <f>SUM(F28:F33)</f>
        <v>917703</v>
      </c>
      <c r="H34" s="124" t="e">
        <f>SUM(H28:H32)</f>
        <v>#REF!</v>
      </c>
      <c r="K34" s="211">
        <v>-1757541.4965200052</v>
      </c>
    </row>
    <row r="35" spans="1:11" ht="12" customHeight="1" thickTop="1">
      <c r="A35" s="18"/>
      <c r="D35" s="42"/>
      <c r="E35" s="42"/>
      <c r="F35" s="42"/>
    </row>
    <row r="36" spans="1:11" ht="12" customHeight="1">
      <c r="A36" s="18" t="s">
        <v>138</v>
      </c>
    </row>
    <row r="37" spans="1:11" ht="12" customHeight="1">
      <c r="A37" s="6" t="s">
        <v>64</v>
      </c>
      <c r="D37" s="6">
        <v>1000000</v>
      </c>
      <c r="F37" s="6">
        <v>2850000</v>
      </c>
    </row>
    <row r="38" spans="1:11" ht="12" customHeight="1">
      <c r="A38" s="6" t="s">
        <v>65</v>
      </c>
      <c r="D38" s="6">
        <f>BS!F30</f>
        <v>1199</v>
      </c>
      <c r="F38" s="6">
        <v>1200000</v>
      </c>
    </row>
    <row r="39" spans="1:11" ht="12" customHeight="1" thickBot="1">
      <c r="D39" s="164">
        <f>D38-D37</f>
        <v>-998801</v>
      </c>
      <c r="E39" s="42"/>
      <c r="F39" s="164">
        <f>F38-F37</f>
        <v>-1650000</v>
      </c>
    </row>
    <row r="40" spans="1:11" ht="12" customHeight="1" thickTop="1">
      <c r="A40" s="18"/>
    </row>
    <row r="41" spans="1:11" ht="12" customHeight="1">
      <c r="A41" s="18" t="s">
        <v>222</v>
      </c>
    </row>
    <row r="42" spans="1:11" ht="12" customHeight="1">
      <c r="A42" s="6" t="s">
        <v>64</v>
      </c>
      <c r="D42" s="6" t="e">
        <f>BS!#REF!</f>
        <v>#REF!</v>
      </c>
    </row>
    <row r="43" spans="1:11" ht="12" customHeight="1">
      <c r="A43" s="6" t="s">
        <v>65</v>
      </c>
      <c r="D43" s="6" t="e">
        <f>BS!#REF!</f>
        <v>#REF!</v>
      </c>
    </row>
    <row r="44" spans="1:11" ht="12" customHeight="1" thickBot="1">
      <c r="D44" s="164" t="e">
        <f>D43-D42</f>
        <v>#REF!</v>
      </c>
    </row>
    <row r="45" spans="1:11" ht="12" customHeight="1" thickTop="1">
      <c r="A45" s="18"/>
    </row>
    <row r="46" spans="1:11" ht="12" customHeight="1">
      <c r="A46" s="18" t="s">
        <v>91</v>
      </c>
    </row>
    <row r="47" spans="1:11" ht="12" customHeight="1">
      <c r="A47" s="6" t="s">
        <v>64</v>
      </c>
      <c r="D47" s="6">
        <f>BS!H33</f>
        <v>0</v>
      </c>
      <c r="F47" s="6">
        <f>68111-45585</f>
        <v>22526</v>
      </c>
      <c r="H47" s="6">
        <v>48425</v>
      </c>
    </row>
    <row r="48" spans="1:11" ht="12" customHeight="1">
      <c r="A48" s="6" t="s">
        <v>65</v>
      </c>
      <c r="D48" s="6">
        <f>BS!F33</f>
        <v>0</v>
      </c>
      <c r="F48" s="6">
        <f>55457-21614</f>
        <v>33843</v>
      </c>
      <c r="H48" s="6">
        <f>D48</f>
        <v>0</v>
      </c>
    </row>
    <row r="49" spans="1:11" ht="12" customHeight="1" thickBot="1">
      <c r="D49" s="164">
        <f>D48-D47</f>
        <v>0</v>
      </c>
      <c r="E49" s="42"/>
      <c r="F49" s="164">
        <f>F48-F47</f>
        <v>11317</v>
      </c>
      <c r="H49" s="124">
        <f>H48-H47</f>
        <v>-48425</v>
      </c>
    </row>
    <row r="50" spans="1:11" ht="12" customHeight="1" thickTop="1">
      <c r="A50" s="18"/>
    </row>
    <row r="51" spans="1:11" ht="12" customHeight="1">
      <c r="A51" s="18" t="s">
        <v>55</v>
      </c>
    </row>
    <row r="52" spans="1:11" ht="12" customHeight="1">
      <c r="A52" s="6" t="s">
        <v>64</v>
      </c>
      <c r="D52" s="6">
        <f>BS!H32</f>
        <v>4500</v>
      </c>
      <c r="F52" s="6">
        <v>45585</v>
      </c>
      <c r="H52" s="6">
        <v>6916</v>
      </c>
    </row>
    <row r="53" spans="1:11" ht="12" customHeight="1">
      <c r="A53" s="6" t="s">
        <v>65</v>
      </c>
      <c r="D53" s="6">
        <f>BS!F32</f>
        <v>5524</v>
      </c>
      <c r="F53" s="6">
        <v>21614</v>
      </c>
      <c r="H53" s="6">
        <f>D53</f>
        <v>5524</v>
      </c>
    </row>
    <row r="54" spans="1:11" ht="12" customHeight="1" thickBot="1">
      <c r="D54" s="164">
        <f>D53-D52</f>
        <v>1024</v>
      </c>
      <c r="E54" s="42"/>
      <c r="F54" s="168">
        <f>F53-F52</f>
        <v>-23971</v>
      </c>
      <c r="H54" s="124">
        <f>H53-H52</f>
        <v>-1392</v>
      </c>
    </row>
    <row r="55" spans="1:11" ht="12" customHeight="1" thickTop="1">
      <c r="A55" s="18"/>
      <c r="D55" s="42"/>
      <c r="E55" s="42"/>
      <c r="F55" s="42"/>
    </row>
    <row r="56" spans="1:11" ht="12" customHeight="1">
      <c r="A56" s="18" t="s">
        <v>118</v>
      </c>
    </row>
    <row r="57" spans="1:11" ht="12" customHeight="1">
      <c r="A57" s="6" t="s">
        <v>64</v>
      </c>
      <c r="D57" s="112">
        <f>BS!H31</f>
        <v>389</v>
      </c>
      <c r="F57" s="115">
        <v>1144992</v>
      </c>
      <c r="H57" s="12"/>
      <c r="K57" s="210">
        <v>58920</v>
      </c>
    </row>
    <row r="58" spans="1:11" ht="12" customHeight="1">
      <c r="A58" s="6" t="s">
        <v>127</v>
      </c>
      <c r="D58" s="113">
        <f>-57335.677*0</f>
        <v>0</v>
      </c>
      <c r="F58" s="116">
        <v>-455853</v>
      </c>
      <c r="H58" s="15"/>
      <c r="K58" s="210">
        <v>-14704</v>
      </c>
    </row>
    <row r="59" spans="1:11" ht="12" customHeight="1">
      <c r="A59" s="6" t="s">
        <v>25</v>
      </c>
      <c r="D59" s="114">
        <v>0</v>
      </c>
      <c r="F59" s="117">
        <v>-235948</v>
      </c>
      <c r="H59" s="17"/>
      <c r="K59" s="210">
        <v>-3287</v>
      </c>
    </row>
    <row r="60" spans="1:11" ht="12" customHeight="1">
      <c r="A60" s="6" t="s">
        <v>128</v>
      </c>
      <c r="D60" s="6">
        <f>SUM(D57:D59)</f>
        <v>389</v>
      </c>
      <c r="F60" s="6">
        <f>SUM(F57:F59)</f>
        <v>453191</v>
      </c>
      <c r="H60" s="123"/>
      <c r="K60" s="210">
        <v>40929</v>
      </c>
    </row>
    <row r="61" spans="1:11" ht="12" customHeight="1">
      <c r="K61" s="210"/>
    </row>
    <row r="62" spans="1:11" ht="12" customHeight="1">
      <c r="A62" s="6" t="s">
        <v>102</v>
      </c>
      <c r="D62" s="112">
        <f>+BS!F31</f>
        <v>784</v>
      </c>
      <c r="F62" s="115">
        <v>1020013</v>
      </c>
      <c r="H62" s="12"/>
      <c r="K62" s="210">
        <v>95938.000919999991</v>
      </c>
    </row>
    <row r="63" spans="1:11" ht="12" customHeight="1">
      <c r="A63" s="6" t="s">
        <v>119</v>
      </c>
      <c r="D63" s="113" t="e">
        <f>-#REF!*0</f>
        <v>#REF!</v>
      </c>
      <c r="F63" s="116">
        <v>-673720</v>
      </c>
      <c r="H63" s="15"/>
      <c r="K63" s="210">
        <v>-30247</v>
      </c>
    </row>
    <row r="64" spans="1:11" ht="12" customHeight="1">
      <c r="A64" s="6" t="s">
        <v>67</v>
      </c>
      <c r="D64" s="114" t="e">
        <f>-#REF!*0</f>
        <v>#REF!</v>
      </c>
      <c r="F64" s="117">
        <v>-361</v>
      </c>
      <c r="H64" s="15"/>
      <c r="K64" s="210">
        <v>-5415</v>
      </c>
    </row>
    <row r="65" spans="1:11" ht="12" customHeight="1">
      <c r="D65" s="13" t="e">
        <f>SUM(D62:D64)</f>
        <v>#REF!</v>
      </c>
      <c r="F65" s="13">
        <f>SUM(F62:F64)</f>
        <v>345932</v>
      </c>
      <c r="H65" s="17"/>
      <c r="K65" s="210">
        <v>60276.000919999991</v>
      </c>
    </row>
    <row r="66" spans="1:11" ht="12" customHeight="1" thickBot="1">
      <c r="A66" s="6" t="s">
        <v>68</v>
      </c>
      <c r="D66" s="165" t="e">
        <f>D65-D60</f>
        <v>#REF!</v>
      </c>
      <c r="E66" s="42"/>
      <c r="F66" s="165">
        <f>F65-F60</f>
        <v>-107259</v>
      </c>
      <c r="H66" s="125"/>
      <c r="K66" s="210">
        <v>19347.000919999991</v>
      </c>
    </row>
    <row r="67" spans="1:11" ht="12.75" thickTop="1"/>
    <row r="68" spans="1:11">
      <c r="A68" s="18" t="s">
        <v>69</v>
      </c>
    </row>
    <row r="69" spans="1:11">
      <c r="A69" s="6" t="s">
        <v>70</v>
      </c>
      <c r="D69" s="6">
        <f>BS!H34</f>
        <v>106334</v>
      </c>
      <c r="F69" s="6">
        <v>150442</v>
      </c>
      <c r="H69" s="6">
        <v>1285418</v>
      </c>
    </row>
    <row r="70" spans="1:11">
      <c r="A70" s="6" t="s">
        <v>13</v>
      </c>
      <c r="D70" s="6" t="e">
        <f>-UHF!#REF!</f>
        <v>#REF!</v>
      </c>
      <c r="F70" s="6">
        <v>5602949</v>
      </c>
      <c r="H70" s="6">
        <v>0</v>
      </c>
    </row>
    <row r="71" spans="1:11">
      <c r="A71" s="6" t="s">
        <v>71</v>
      </c>
      <c r="D71" s="6" t="e">
        <f>-UHF!#REF!</f>
        <v>#REF!</v>
      </c>
      <c r="F71" s="6">
        <v>-2014671</v>
      </c>
      <c r="H71" s="6">
        <v>0</v>
      </c>
    </row>
    <row r="72" spans="1:11">
      <c r="A72" s="6" t="s">
        <v>65</v>
      </c>
      <c r="D72" s="6">
        <f>BS!F34</f>
        <v>271952</v>
      </c>
      <c r="F72" s="6">
        <v>230264</v>
      </c>
      <c r="H72" s="6">
        <f>D72</f>
        <v>271952</v>
      </c>
    </row>
    <row r="73" spans="1:11" ht="12.75" thickBot="1">
      <c r="D73" s="164" t="e">
        <f>D69+D70+D71-D72</f>
        <v>#REF!</v>
      </c>
      <c r="E73" s="42"/>
      <c r="F73" s="164">
        <f>F69+F70+F71-F72</f>
        <v>3508456</v>
      </c>
      <c r="H73" s="124">
        <f>H69+H70+H71-H72</f>
        <v>1013466</v>
      </c>
    </row>
    <row r="74" spans="1:11" s="18" customFormat="1" ht="12.75" thickTop="1">
      <c r="E74" s="42"/>
    </row>
    <row r="75" spans="1:11">
      <c r="A75" s="18" t="s">
        <v>72</v>
      </c>
    </row>
    <row r="76" spans="1:11">
      <c r="A76" s="6" t="s">
        <v>101</v>
      </c>
      <c r="D76" s="6">
        <f>-D58</f>
        <v>0</v>
      </c>
      <c r="F76" s="6">
        <f>-F58</f>
        <v>455853</v>
      </c>
      <c r="H76" s="6">
        <f>-H58</f>
        <v>0</v>
      </c>
      <c r="I76" s="162"/>
    </row>
    <row r="77" spans="1:11">
      <c r="A77" s="6" t="s">
        <v>188</v>
      </c>
      <c r="D77" s="6">
        <f>'P&amp;L'!E25</f>
        <v>2971.2090000000003</v>
      </c>
      <c r="F77" s="6">
        <f>'P&amp;L'!G25</f>
        <v>1151.404</v>
      </c>
      <c r="I77" s="6" t="e">
        <f>'P&amp;L'!#REF!</f>
        <v>#REF!</v>
      </c>
    </row>
    <row r="78" spans="1:11">
      <c r="A78" s="6" t="s">
        <v>201</v>
      </c>
      <c r="D78" s="6">
        <f>'P&amp;L'!E26</f>
        <v>482.53399999999999</v>
      </c>
    </row>
    <row r="79" spans="1:11">
      <c r="A79" s="6" t="s">
        <v>102</v>
      </c>
      <c r="D79" s="6" t="e">
        <f>-'cash flow working'!D63</f>
        <v>#REF!</v>
      </c>
      <c r="F79" s="6">
        <f>-F63</f>
        <v>673720</v>
      </c>
      <c r="I79" s="6">
        <f>F79</f>
        <v>673720</v>
      </c>
    </row>
    <row r="80" spans="1:11" s="18" customFormat="1" ht="12.75" thickBot="1">
      <c r="D80" s="164" t="e">
        <f>D76+D77-D79+D78</f>
        <v>#REF!</v>
      </c>
      <c r="E80" s="42"/>
      <c r="F80" s="164">
        <f>F76+F77-F79</f>
        <v>-216715.59600000002</v>
      </c>
      <c r="I80" s="124" t="e">
        <f>I76+I77-I79</f>
        <v>#REF!</v>
      </c>
    </row>
    <row r="81" spans="1:6" ht="12.75" thickTop="1"/>
    <row r="82" spans="1:6" s="18" customFormat="1">
      <c r="A82" s="101" t="s">
        <v>103</v>
      </c>
      <c r="E82" s="42"/>
    </row>
    <row r="83" spans="1:6" s="18" customFormat="1">
      <c r="A83" s="6" t="s">
        <v>56</v>
      </c>
      <c r="D83" s="6">
        <f>UHF!L10</f>
        <v>19206.769</v>
      </c>
      <c r="E83" s="13"/>
      <c r="F83" s="6">
        <v>-903030</v>
      </c>
    </row>
    <row r="84" spans="1:6" s="18" customFormat="1">
      <c r="A84" s="6" t="s">
        <v>57</v>
      </c>
      <c r="D84" s="6">
        <f>UHF!L12</f>
        <v>-3028</v>
      </c>
      <c r="E84" s="13"/>
      <c r="F84" s="6">
        <v>3472372</v>
      </c>
    </row>
    <row r="85" spans="1:6" s="18" customFormat="1">
      <c r="A85" s="6" t="s">
        <v>58</v>
      </c>
      <c r="D85" s="6">
        <f>-D59</f>
        <v>0</v>
      </c>
      <c r="E85" s="13"/>
      <c r="F85" s="6">
        <f>-F59</f>
        <v>235948</v>
      </c>
    </row>
    <row r="86" spans="1:6">
      <c r="A86" s="6" t="s">
        <v>59</v>
      </c>
      <c r="D86" s="6" t="e">
        <f>-D64</f>
        <v>#REF!</v>
      </c>
      <c r="F86" s="6">
        <f>-F64</f>
        <v>361</v>
      </c>
    </row>
    <row r="87" spans="1:6" ht="12.75" thickBot="1">
      <c r="D87" s="164" t="e">
        <f>D83+D84-D85+D86</f>
        <v>#REF!</v>
      </c>
      <c r="E87" s="42"/>
      <c r="F87" s="164">
        <f>F83+F84-F85+F86</f>
        <v>2333755</v>
      </c>
    </row>
    <row r="88" spans="1:6" ht="12.75" thickTop="1">
      <c r="A88" s="18" t="s">
        <v>137</v>
      </c>
    </row>
    <row r="89" spans="1:6">
      <c r="A89" s="6" t="s">
        <v>64</v>
      </c>
      <c r="D89" s="6">
        <v>0</v>
      </c>
      <c r="F89" s="6">
        <v>18191</v>
      </c>
    </row>
    <row r="90" spans="1:6">
      <c r="A90" s="6" t="s">
        <v>65</v>
      </c>
      <c r="D90" s="6">
        <v>0</v>
      </c>
      <c r="F90" s="6">
        <v>0</v>
      </c>
    </row>
    <row r="91" spans="1:6" ht="12.75" thickBot="1">
      <c r="D91" s="164">
        <f>D89-D90</f>
        <v>0</v>
      </c>
      <c r="E91" s="42"/>
      <c r="F91" s="164">
        <f>F89-F90</f>
        <v>18191</v>
      </c>
    </row>
    <row r="92" spans="1:6" ht="12" customHeight="1" thickTop="1">
      <c r="A92" s="18" t="s">
        <v>121</v>
      </c>
    </row>
    <row r="93" spans="1:6" ht="12" customHeight="1">
      <c r="A93" s="6" t="s">
        <v>64</v>
      </c>
      <c r="D93" s="6">
        <v>0</v>
      </c>
      <c r="F93" s="6">
        <v>1979</v>
      </c>
    </row>
    <row r="94" spans="1:6" ht="12" customHeight="1">
      <c r="A94" s="6" t="s">
        <v>65</v>
      </c>
      <c r="D94" s="6">
        <v>0</v>
      </c>
      <c r="F94" s="6">
        <v>0</v>
      </c>
    </row>
    <row r="95" spans="1:6" ht="12" customHeight="1" thickBot="1">
      <c r="D95" s="164">
        <f>D94-D93</f>
        <v>0</v>
      </c>
      <c r="E95" s="42"/>
      <c r="F95" s="164">
        <f>F94-F93</f>
        <v>-1979</v>
      </c>
    </row>
    <row r="96" spans="1:6" ht="12" customHeight="1" thickTop="1">
      <c r="A96" s="18"/>
    </row>
    <row r="97" spans="1:6">
      <c r="A97" s="6" t="s">
        <v>114</v>
      </c>
      <c r="D97" s="18" t="e">
        <f>D95+D91+D87</f>
        <v>#REF!</v>
      </c>
      <c r="F97" s="18">
        <f>F95+F91+F87</f>
        <v>2349967</v>
      </c>
    </row>
    <row r="101" spans="1:6">
      <c r="D101" s="6" t="e">
        <f>D9+#REF!+D14+D19+D26-BS!H26+BS!H10+D89</f>
        <v>#REF!</v>
      </c>
      <c r="F101" s="6" t="e">
        <f>+F9+F14+F19+F26+F89+3473180-49800787+#REF!</f>
        <v>#REF!</v>
      </c>
    </row>
    <row r="102" spans="1:6">
      <c r="D102" s="6">
        <f>+D37+D47+D52+D57+D69-BS!H35</f>
        <v>1111223</v>
      </c>
      <c r="F102" s="6">
        <f>+F37+F47+F52+F57+F69-4215524+F93</f>
        <v>0</v>
      </c>
    </row>
    <row r="103" spans="1:6">
      <c r="D103" s="6" t="e">
        <f>D10+#REF!+D15+D22+D27+D90-BS!F26+BS!F10</f>
        <v>#REF!</v>
      </c>
      <c r="F103" s="6" t="e">
        <f>+F10+#REF!+F15+F22+F27-27757523+F90</f>
        <v>#REF!</v>
      </c>
    </row>
    <row r="104" spans="1:6">
      <c r="D104" s="6">
        <f>D38+D48+D53+D62+D72+D94-BS!F35</f>
        <v>279459</v>
      </c>
      <c r="F104" s="6">
        <f>+F38+F48+F53+F62+F72-2505734+F94</f>
        <v>0</v>
      </c>
    </row>
  </sheetData>
  <customSheetViews>
    <customSheetView guid="{84FBBE83-FF6F-4C76-A58E-D04643F715A5}" showPageBreaks="1" printArea="1" hiddenRows="1" hiddenColumns="1" view="pageBreakPreview" topLeftCell="A9">
      <selection activeCell="A34" sqref="A34"/>
      <rowBreaks count="1" manualBreakCount="1">
        <brk id="50" max="4" man="1"/>
      </rowBreaks>
      <pageMargins left="0.75" right="0.75" top="0.55000000000000004" bottom="1" header="0.23" footer="0.28000000000000003"/>
      <pageSetup paperSize="9" fitToWidth="2" fitToHeight="2" orientation="portrait" r:id="rId1"/>
      <headerFooter alignWithMargins="0"/>
    </customSheetView>
  </customSheetViews>
  <phoneticPr fontId="23" type="noConversion"/>
  <pageMargins left="0.75" right="0.75" top="0.55000000000000004" bottom="1" header="0.23" footer="0.28000000000000003"/>
  <pageSetup paperSize="9" fitToWidth="2" fitToHeight="2" orientation="portrait" r:id="rId2"/>
  <headerFooter alignWithMargins="0"/>
  <rowBreaks count="1" manualBreakCount="1">
    <brk id="55" max="4" man="1"/>
  </rowBreaks>
  <legacyDrawing r:id="rId3"/>
</worksheet>
</file>

<file path=xl/worksheets/sheet16.xml><?xml version="1.0" encoding="utf-8"?>
<worksheet xmlns="http://schemas.openxmlformats.org/spreadsheetml/2006/main" xmlns:r="http://schemas.openxmlformats.org/officeDocument/2006/relationships">
  <sheetPr codeName="Sheet12">
    <tabColor rgb="FF92D050"/>
  </sheetPr>
  <dimension ref="A1:R90"/>
  <sheetViews>
    <sheetView view="pageBreakPreview" topLeftCell="A29" zoomScaleSheetLayoutView="100" workbookViewId="0">
      <selection activeCell="J36" sqref="J36"/>
    </sheetView>
  </sheetViews>
  <sheetFormatPr defaultRowHeight="12"/>
  <cols>
    <col min="1" max="1" width="4" style="55" customWidth="1"/>
    <col min="2" max="2" width="3.625" style="58" customWidth="1"/>
    <col min="3" max="3" width="20.5" style="56" customWidth="1"/>
    <col min="4" max="4" width="7.625" style="30" customWidth="1"/>
    <col min="5" max="5" width="0.875" style="368" customWidth="1"/>
    <col min="6" max="6" width="7.625" style="56" customWidth="1"/>
    <col min="7" max="7" width="0.875" style="370" customWidth="1"/>
    <col min="8" max="8" width="7.625" style="56" customWidth="1"/>
    <col min="9" max="9" width="0.875" style="370" customWidth="1"/>
    <col min="10" max="10" width="7.625" style="56" customWidth="1"/>
    <col min="11" max="11" width="0.875" style="370" customWidth="1"/>
    <col min="12" max="12" width="7.625" style="370" customWidth="1"/>
    <col min="13" max="13" width="0.875" style="370" customWidth="1"/>
    <col min="14" max="14" width="7.625" style="370" customWidth="1"/>
    <col min="15" max="15" width="0.875" style="370" customWidth="1"/>
    <col min="16" max="16" width="7.625" style="370" customWidth="1"/>
    <col min="17" max="17" width="0.875" style="370" customWidth="1"/>
    <col min="18" max="18" width="7.75" style="56" customWidth="1"/>
    <col min="19" max="19" width="0.75" style="56" customWidth="1"/>
    <col min="20" max="16384" width="9" style="56"/>
  </cols>
  <sheetData>
    <row r="1" spans="1:18">
      <c r="A1" s="105" t="s">
        <v>255</v>
      </c>
      <c r="B1" s="37"/>
      <c r="C1" s="37"/>
      <c r="D1" s="37"/>
      <c r="E1" s="37"/>
      <c r="F1" s="37"/>
      <c r="G1" s="37"/>
    </row>
    <row r="2" spans="1:18">
      <c r="A2" s="55" t="s">
        <v>243</v>
      </c>
      <c r="B2" s="37"/>
      <c r="C2" s="37"/>
      <c r="D2" s="37"/>
      <c r="E2" s="37"/>
      <c r="F2" s="37"/>
      <c r="G2" s="37"/>
      <c r="H2" s="46"/>
      <c r="I2" s="46"/>
      <c r="J2" s="46"/>
      <c r="K2" s="46"/>
      <c r="L2" s="46"/>
      <c r="M2" s="46"/>
      <c r="N2" s="46"/>
      <c r="O2" s="46"/>
      <c r="P2" s="46"/>
      <c r="Q2" s="46"/>
      <c r="R2" s="46"/>
    </row>
    <row r="3" spans="1:18">
      <c r="A3" s="106" t="s">
        <v>446</v>
      </c>
      <c r="B3" s="57"/>
      <c r="C3" s="57"/>
      <c r="D3" s="57"/>
      <c r="E3" s="57"/>
      <c r="F3" s="57"/>
      <c r="G3" s="57"/>
      <c r="H3" s="57"/>
      <c r="I3" s="57"/>
      <c r="J3" s="57"/>
      <c r="K3" s="57"/>
      <c r="L3" s="57"/>
      <c r="M3" s="57"/>
      <c r="N3" s="57"/>
      <c r="O3" s="57"/>
      <c r="P3" s="57"/>
      <c r="Q3" s="57"/>
      <c r="R3" s="57"/>
    </row>
    <row r="4" spans="1:18" ht="5.25" customHeight="1">
      <c r="A4" s="106"/>
      <c r="B4" s="57"/>
      <c r="C4" s="57"/>
      <c r="D4" s="57"/>
      <c r="E4" s="57"/>
      <c r="F4" s="57"/>
      <c r="G4" s="57"/>
      <c r="H4" s="57"/>
      <c r="I4" s="57"/>
      <c r="J4" s="57"/>
      <c r="K4" s="57"/>
      <c r="L4" s="57"/>
      <c r="M4" s="57"/>
      <c r="N4" s="57"/>
      <c r="O4" s="57"/>
      <c r="P4" s="57"/>
      <c r="Q4" s="57"/>
      <c r="R4" s="57"/>
    </row>
    <row r="5" spans="1:18">
      <c r="A5" s="31">
        <v>1</v>
      </c>
      <c r="B5" s="55" t="s">
        <v>140</v>
      </c>
      <c r="C5" s="37"/>
      <c r="F5" s="44"/>
      <c r="G5" s="44"/>
    </row>
    <row r="6" spans="1:18" ht="3" customHeight="1">
      <c r="A6" s="107"/>
      <c r="D6" s="44"/>
      <c r="E6" s="44"/>
    </row>
    <row r="7" spans="1:18">
      <c r="A7" s="108"/>
      <c r="B7" s="536" t="s">
        <v>316</v>
      </c>
      <c r="C7" s="539"/>
      <c r="D7" s="539"/>
      <c r="E7" s="539"/>
      <c r="F7" s="540"/>
      <c r="G7" s="540"/>
      <c r="H7" s="540"/>
      <c r="I7" s="540"/>
      <c r="J7" s="540"/>
      <c r="K7" s="540"/>
      <c r="L7" s="540"/>
      <c r="M7" s="540"/>
      <c r="N7" s="540"/>
      <c r="O7" s="540"/>
      <c r="P7" s="540"/>
      <c r="Q7" s="540"/>
      <c r="R7" s="540"/>
    </row>
    <row r="8" spans="1:18">
      <c r="A8" s="108"/>
      <c r="B8" s="536" t="s">
        <v>317</v>
      </c>
      <c r="C8" s="539"/>
      <c r="D8" s="539"/>
      <c r="E8" s="539"/>
      <c r="F8" s="540"/>
      <c r="G8" s="540"/>
      <c r="H8" s="540"/>
      <c r="I8" s="540"/>
      <c r="J8" s="540"/>
      <c r="K8" s="540"/>
      <c r="L8" s="540"/>
      <c r="M8" s="540"/>
      <c r="N8" s="540"/>
      <c r="O8" s="540"/>
      <c r="P8" s="540"/>
      <c r="Q8" s="540"/>
      <c r="R8" s="540"/>
    </row>
    <row r="9" spans="1:18">
      <c r="A9" s="108"/>
      <c r="B9" s="536" t="s">
        <v>318</v>
      </c>
      <c r="C9" s="539"/>
      <c r="D9" s="539"/>
      <c r="E9" s="539"/>
      <c r="F9" s="540"/>
      <c r="G9" s="540"/>
      <c r="H9" s="540"/>
      <c r="I9" s="540"/>
      <c r="J9" s="540"/>
      <c r="K9" s="540"/>
      <c r="L9" s="540"/>
      <c r="M9" s="540"/>
      <c r="N9" s="540"/>
      <c r="O9" s="540"/>
      <c r="P9" s="540"/>
      <c r="Q9" s="540"/>
      <c r="R9" s="540"/>
    </row>
    <row r="10" spans="1:18">
      <c r="A10" s="108"/>
      <c r="B10" s="537" t="s">
        <v>319</v>
      </c>
      <c r="C10" s="539"/>
      <c r="D10" s="539"/>
      <c r="E10" s="539"/>
      <c r="F10" s="540"/>
      <c r="G10" s="540"/>
      <c r="H10" s="540"/>
      <c r="I10" s="540"/>
      <c r="J10" s="540"/>
      <c r="K10" s="540"/>
      <c r="L10" s="540"/>
      <c r="M10" s="540"/>
      <c r="N10" s="540"/>
      <c r="O10" s="540"/>
      <c r="P10" s="540"/>
      <c r="Q10" s="540"/>
      <c r="R10" s="540"/>
    </row>
    <row r="11" spans="1:18" ht="8.25" customHeight="1">
      <c r="A11" s="96"/>
    </row>
    <row r="12" spans="1:18">
      <c r="A12" s="96"/>
      <c r="B12" s="538" t="s">
        <v>320</v>
      </c>
      <c r="C12" s="535"/>
      <c r="D12" s="535"/>
      <c r="E12" s="535"/>
      <c r="F12" s="535"/>
      <c r="G12" s="535"/>
      <c r="H12" s="535"/>
      <c r="I12" s="535"/>
      <c r="J12" s="535"/>
      <c r="K12" s="535"/>
      <c r="L12" s="535"/>
      <c r="M12" s="535"/>
      <c r="N12" s="535"/>
      <c r="O12" s="535"/>
      <c r="P12" s="535"/>
      <c r="Q12" s="535"/>
      <c r="R12" s="535"/>
    </row>
    <row r="13" spans="1:18">
      <c r="A13" s="96"/>
      <c r="B13" s="538" t="s">
        <v>321</v>
      </c>
      <c r="C13" s="535"/>
      <c r="D13" s="535"/>
      <c r="E13" s="535"/>
      <c r="F13" s="535"/>
      <c r="G13" s="535"/>
      <c r="H13" s="535"/>
      <c r="I13" s="535"/>
      <c r="J13" s="535"/>
      <c r="K13" s="535"/>
      <c r="L13" s="535"/>
      <c r="M13" s="535"/>
      <c r="N13" s="535"/>
      <c r="O13" s="535"/>
      <c r="P13" s="535"/>
      <c r="Q13" s="535"/>
      <c r="R13" s="535"/>
    </row>
    <row r="14" spans="1:18">
      <c r="A14" s="96"/>
      <c r="B14" s="538" t="s">
        <v>322</v>
      </c>
      <c r="C14" s="535"/>
      <c r="D14" s="535"/>
      <c r="E14" s="535"/>
      <c r="F14" s="535"/>
      <c r="G14" s="535"/>
      <c r="H14" s="535"/>
      <c r="I14" s="535"/>
      <c r="J14" s="535"/>
      <c r="K14" s="535"/>
      <c r="L14" s="535"/>
      <c r="M14" s="535"/>
      <c r="N14" s="535"/>
      <c r="O14" s="535"/>
      <c r="P14" s="535"/>
      <c r="Q14" s="535"/>
      <c r="R14" s="535"/>
    </row>
    <row r="15" spans="1:18" ht="5.25" customHeight="1">
      <c r="A15" s="96"/>
      <c r="B15" s="538"/>
      <c r="C15" s="535"/>
      <c r="D15" s="535"/>
      <c r="E15" s="535"/>
      <c r="F15" s="535"/>
      <c r="G15" s="535"/>
      <c r="H15" s="535"/>
      <c r="I15" s="535"/>
      <c r="J15" s="535"/>
      <c r="K15" s="535"/>
      <c r="L15" s="535"/>
      <c r="M15" s="535"/>
      <c r="N15" s="535"/>
      <c r="O15" s="535"/>
      <c r="P15" s="535"/>
      <c r="Q15" s="535"/>
      <c r="R15" s="535"/>
    </row>
    <row r="16" spans="1:18">
      <c r="A16" s="96"/>
      <c r="B16" s="537" t="s">
        <v>323</v>
      </c>
      <c r="C16" s="535"/>
      <c r="D16" s="535"/>
      <c r="E16" s="535"/>
      <c r="F16" s="535"/>
      <c r="G16" s="535"/>
      <c r="H16" s="535"/>
      <c r="I16" s="535"/>
      <c r="J16" s="535"/>
      <c r="K16" s="535"/>
      <c r="L16" s="535"/>
      <c r="M16" s="535"/>
      <c r="N16" s="535"/>
      <c r="O16" s="535"/>
      <c r="P16" s="535"/>
      <c r="Q16" s="535"/>
      <c r="R16" s="535"/>
    </row>
    <row r="17" spans="1:18">
      <c r="A17" s="96"/>
      <c r="B17" s="537" t="s">
        <v>324</v>
      </c>
      <c r="C17" s="535"/>
      <c r="D17" s="535"/>
      <c r="E17" s="535"/>
      <c r="F17" s="535"/>
      <c r="G17" s="535"/>
      <c r="H17" s="535"/>
      <c r="I17" s="535"/>
      <c r="J17" s="535"/>
      <c r="K17" s="535"/>
      <c r="L17" s="535"/>
      <c r="M17" s="535"/>
      <c r="N17" s="535"/>
      <c r="O17" s="535"/>
      <c r="P17" s="535"/>
      <c r="Q17" s="535"/>
      <c r="R17" s="535"/>
    </row>
    <row r="18" spans="1:18">
      <c r="A18" s="96"/>
      <c r="B18" s="537" t="s">
        <v>325</v>
      </c>
      <c r="C18" s="535"/>
      <c r="D18" s="535"/>
      <c r="E18" s="535"/>
      <c r="F18" s="535"/>
      <c r="G18" s="535"/>
      <c r="H18" s="535"/>
      <c r="I18" s="535"/>
      <c r="J18" s="535"/>
      <c r="K18" s="535"/>
      <c r="L18" s="535"/>
      <c r="M18" s="535"/>
      <c r="N18" s="535"/>
      <c r="O18" s="535"/>
      <c r="P18" s="535"/>
      <c r="Q18" s="535"/>
      <c r="R18" s="535"/>
    </row>
    <row r="19" spans="1:18">
      <c r="A19" s="96"/>
      <c r="B19" s="535"/>
      <c r="C19" s="535"/>
      <c r="D19" s="535"/>
      <c r="E19" s="535"/>
      <c r="F19" s="535"/>
      <c r="G19" s="535"/>
      <c r="H19" s="535"/>
      <c r="I19" s="535"/>
      <c r="J19" s="535"/>
      <c r="K19" s="535"/>
      <c r="L19" s="535"/>
      <c r="M19" s="535"/>
      <c r="N19" s="535"/>
      <c r="O19" s="535"/>
      <c r="P19" s="535"/>
      <c r="Q19" s="535"/>
      <c r="R19" s="535"/>
    </row>
    <row r="20" spans="1:18">
      <c r="A20" s="96"/>
      <c r="B20" s="537" t="s">
        <v>326</v>
      </c>
      <c r="C20" s="534"/>
      <c r="D20" s="534"/>
      <c r="E20" s="534"/>
      <c r="F20" s="534"/>
      <c r="G20" s="534"/>
      <c r="H20" s="534"/>
      <c r="I20" s="534"/>
      <c r="J20" s="534"/>
      <c r="K20" s="534"/>
      <c r="L20" s="534"/>
      <c r="M20" s="534"/>
      <c r="N20" s="534"/>
      <c r="O20" s="534"/>
      <c r="P20" s="534"/>
      <c r="Q20" s="534"/>
      <c r="R20" s="534"/>
    </row>
    <row r="21" spans="1:18">
      <c r="A21" s="96"/>
      <c r="B21" s="537" t="s">
        <v>327</v>
      </c>
      <c r="C21" s="534"/>
      <c r="D21" s="534"/>
      <c r="E21" s="534"/>
      <c r="F21" s="534"/>
      <c r="G21" s="534"/>
      <c r="H21" s="534"/>
      <c r="I21" s="534"/>
      <c r="J21" s="534"/>
      <c r="K21" s="534"/>
      <c r="L21" s="534"/>
      <c r="M21" s="534"/>
      <c r="N21" s="534"/>
      <c r="O21" s="534"/>
      <c r="P21" s="534"/>
      <c r="Q21" s="534"/>
      <c r="R21" s="534"/>
    </row>
    <row r="22" spans="1:18">
      <c r="A22" s="108"/>
      <c r="B22" s="537" t="s">
        <v>328</v>
      </c>
      <c r="C22" s="59"/>
      <c r="D22" s="59"/>
      <c r="E22" s="59"/>
      <c r="F22" s="60"/>
      <c r="G22" s="60"/>
    </row>
    <row r="23" spans="1:18" ht="12" customHeight="1">
      <c r="A23" s="96"/>
      <c r="B23" s="536" t="s">
        <v>329</v>
      </c>
      <c r="C23" s="80"/>
      <c r="D23" s="80"/>
      <c r="E23" s="80"/>
      <c r="F23" s="80"/>
      <c r="G23" s="80"/>
      <c r="H23" s="80"/>
      <c r="I23" s="80"/>
      <c r="J23" s="80"/>
      <c r="K23" s="80"/>
      <c r="L23" s="80"/>
      <c r="M23" s="80"/>
      <c r="N23" s="80"/>
      <c r="O23" s="80"/>
      <c r="P23" s="80"/>
      <c r="Q23" s="80"/>
      <c r="R23" s="80"/>
    </row>
    <row r="24" spans="1:18" ht="3.75" customHeight="1">
      <c r="A24" s="96"/>
      <c r="B24" s="536"/>
      <c r="C24" s="80"/>
      <c r="D24" s="80"/>
      <c r="E24" s="80"/>
      <c r="F24" s="80"/>
      <c r="G24" s="80"/>
      <c r="H24" s="80"/>
      <c r="I24" s="80"/>
      <c r="J24" s="80"/>
      <c r="K24" s="80"/>
      <c r="L24" s="80"/>
      <c r="M24" s="80"/>
      <c r="N24" s="80"/>
      <c r="O24" s="80"/>
      <c r="P24" s="80"/>
      <c r="Q24" s="80"/>
      <c r="R24" s="80"/>
    </row>
    <row r="25" spans="1:18" s="370" customFormat="1">
      <c r="A25" s="108"/>
      <c r="B25" s="537" t="s">
        <v>330</v>
      </c>
      <c r="C25" s="471"/>
      <c r="D25" s="471"/>
      <c r="E25" s="471"/>
      <c r="F25" s="471"/>
      <c r="G25" s="471"/>
      <c r="H25" s="471"/>
      <c r="I25" s="471"/>
      <c r="J25" s="472"/>
      <c r="K25" s="472"/>
      <c r="L25" s="472"/>
      <c r="M25" s="472"/>
      <c r="N25" s="472"/>
      <c r="O25" s="472"/>
      <c r="P25" s="472"/>
      <c r="Q25" s="472"/>
      <c r="R25" s="472"/>
    </row>
    <row r="26" spans="1:18" s="370" customFormat="1">
      <c r="A26" s="108"/>
      <c r="B26" s="537" t="s">
        <v>331</v>
      </c>
      <c r="C26" s="471"/>
      <c r="D26" s="471"/>
      <c r="E26" s="471"/>
      <c r="F26" s="471"/>
      <c r="G26" s="471"/>
      <c r="H26" s="471"/>
      <c r="I26" s="471"/>
      <c r="J26" s="472"/>
      <c r="K26" s="472"/>
      <c r="L26" s="472"/>
      <c r="M26" s="472"/>
      <c r="N26" s="472"/>
      <c r="O26" s="472"/>
      <c r="P26" s="472"/>
      <c r="Q26" s="472"/>
      <c r="R26" s="472"/>
    </row>
    <row r="27" spans="1:18" s="370" customFormat="1">
      <c r="A27" s="108"/>
      <c r="B27" s="537" t="s">
        <v>332</v>
      </c>
      <c r="C27" s="471"/>
      <c r="D27" s="471"/>
      <c r="E27" s="471"/>
      <c r="F27" s="471"/>
      <c r="G27" s="471"/>
      <c r="H27" s="471"/>
      <c r="I27" s="471"/>
      <c r="J27" s="472"/>
      <c r="K27" s="472"/>
      <c r="L27" s="472"/>
      <c r="M27" s="472"/>
      <c r="N27" s="472"/>
      <c r="O27" s="472"/>
      <c r="P27" s="472"/>
      <c r="Q27" s="472"/>
      <c r="R27" s="472"/>
    </row>
    <row r="28" spans="1:18" s="370" customFormat="1" ht="3.75" customHeight="1">
      <c r="A28" s="108"/>
      <c r="B28" s="471"/>
      <c r="C28" s="471"/>
      <c r="D28" s="471"/>
      <c r="E28" s="471"/>
      <c r="F28" s="471"/>
      <c r="G28" s="471"/>
      <c r="H28" s="471"/>
      <c r="I28" s="471"/>
      <c r="J28" s="472"/>
      <c r="K28" s="472"/>
      <c r="L28" s="472"/>
      <c r="M28" s="472"/>
      <c r="N28" s="472"/>
      <c r="O28" s="472"/>
      <c r="P28" s="472"/>
      <c r="Q28" s="472"/>
      <c r="R28" s="472"/>
    </row>
    <row r="29" spans="1:18" s="370" customFormat="1">
      <c r="A29" s="108"/>
      <c r="B29" s="537" t="s">
        <v>333</v>
      </c>
      <c r="C29" s="471"/>
      <c r="D29" s="471"/>
      <c r="E29" s="471"/>
      <c r="F29" s="471"/>
      <c r="G29" s="471"/>
      <c r="H29" s="471"/>
      <c r="I29" s="471"/>
      <c r="J29" s="472"/>
      <c r="K29" s="472"/>
      <c r="L29" s="472"/>
      <c r="M29" s="472"/>
      <c r="N29" s="472"/>
      <c r="O29" s="472"/>
      <c r="P29" s="472"/>
      <c r="Q29" s="472"/>
      <c r="R29" s="472"/>
    </row>
    <row r="30" spans="1:18" s="370" customFormat="1" ht="3.75" customHeight="1">
      <c r="A30" s="108"/>
      <c r="B30" s="471"/>
      <c r="C30" s="471"/>
      <c r="D30" s="471"/>
      <c r="E30" s="471"/>
      <c r="F30" s="471"/>
      <c r="G30" s="471"/>
      <c r="H30" s="471"/>
      <c r="I30" s="471"/>
      <c r="J30" s="472"/>
      <c r="K30" s="472"/>
      <c r="L30" s="472"/>
      <c r="M30" s="472"/>
      <c r="N30" s="472"/>
      <c r="O30" s="472"/>
      <c r="P30" s="472"/>
      <c r="Q30" s="472"/>
      <c r="R30" s="472"/>
    </row>
    <row r="31" spans="1:18" s="370" customFormat="1">
      <c r="A31" s="108"/>
      <c r="B31" s="537" t="s">
        <v>314</v>
      </c>
      <c r="C31" s="471"/>
      <c r="D31" s="471"/>
      <c r="E31" s="471"/>
      <c r="F31" s="471"/>
      <c r="G31" s="471"/>
      <c r="H31" s="471"/>
      <c r="I31" s="471"/>
      <c r="J31" s="472"/>
      <c r="K31" s="472"/>
      <c r="L31" s="472"/>
      <c r="M31" s="472"/>
      <c r="N31" s="472"/>
      <c r="O31" s="472"/>
      <c r="P31" s="472"/>
      <c r="Q31" s="472"/>
      <c r="R31" s="472"/>
    </row>
    <row r="32" spans="1:18" s="370" customFormat="1">
      <c r="A32" s="108"/>
      <c r="B32" s="471"/>
      <c r="C32" s="471"/>
      <c r="D32" s="471"/>
      <c r="E32" s="471"/>
      <c r="F32" s="471"/>
      <c r="G32" s="471"/>
      <c r="H32" s="471"/>
      <c r="I32" s="471"/>
      <c r="J32" s="472"/>
      <c r="K32" s="472"/>
      <c r="L32" s="472"/>
      <c r="M32" s="472"/>
      <c r="N32" s="472"/>
      <c r="O32" s="472"/>
      <c r="P32" s="472"/>
      <c r="Q32" s="472"/>
      <c r="R32" s="472"/>
    </row>
    <row r="33" spans="1:18">
      <c r="A33" s="403">
        <v>2</v>
      </c>
      <c r="B33" s="401" t="s">
        <v>76</v>
      </c>
      <c r="C33" s="401"/>
      <c r="D33" s="404"/>
      <c r="E33" s="404"/>
      <c r="F33" s="404"/>
      <c r="G33" s="404"/>
      <c r="H33" s="404"/>
      <c r="I33" s="404"/>
      <c r="J33" s="404"/>
      <c r="K33" s="404"/>
      <c r="L33" s="404"/>
      <c r="M33" s="404"/>
      <c r="N33" s="404"/>
      <c r="O33" s="404"/>
      <c r="P33" s="404"/>
      <c r="Q33" s="404"/>
      <c r="R33" s="404"/>
    </row>
    <row r="34" spans="1:18" ht="8.25" customHeight="1">
      <c r="A34" s="400"/>
      <c r="B34" s="404"/>
      <c r="C34" s="404"/>
      <c r="D34" s="404"/>
      <c r="E34" s="404"/>
      <c r="F34" s="404"/>
      <c r="G34" s="404"/>
      <c r="H34" s="404"/>
      <c r="I34" s="404"/>
      <c r="J34" s="404"/>
      <c r="K34" s="404"/>
      <c r="L34" s="404"/>
      <c r="M34" s="404"/>
      <c r="N34" s="404"/>
      <c r="O34" s="404"/>
      <c r="P34" s="404"/>
      <c r="Q34" s="404"/>
      <c r="R34" s="404"/>
    </row>
    <row r="35" spans="1:18" ht="17.25" customHeight="1">
      <c r="A35" s="416">
        <v>2.1</v>
      </c>
      <c r="B35" s="417" t="s">
        <v>116</v>
      </c>
      <c r="C35" s="418"/>
      <c r="D35" s="418"/>
      <c r="E35" s="418"/>
      <c r="F35" s="418"/>
      <c r="G35" s="418"/>
      <c r="H35" s="419"/>
      <c r="I35" s="419"/>
      <c r="J35" s="419"/>
      <c r="K35" s="419"/>
      <c r="L35" s="419"/>
      <c r="M35" s="419"/>
      <c r="N35" s="419"/>
      <c r="O35" s="419"/>
      <c r="P35" s="419"/>
      <c r="Q35" s="419"/>
      <c r="R35" s="419"/>
    </row>
    <row r="36" spans="1:18">
      <c r="A36" s="416"/>
      <c r="B36" s="667" t="s">
        <v>466</v>
      </c>
      <c r="C36" s="418"/>
      <c r="D36" s="418"/>
      <c r="E36" s="418"/>
      <c r="F36" s="418"/>
      <c r="G36" s="418"/>
      <c r="H36" s="419"/>
      <c r="I36" s="419"/>
      <c r="J36" s="419"/>
      <c r="K36" s="419"/>
      <c r="L36" s="419"/>
      <c r="M36" s="419"/>
      <c r="N36" s="419"/>
      <c r="O36" s="419"/>
      <c r="P36" s="419"/>
      <c r="Q36" s="419"/>
      <c r="R36" s="419"/>
    </row>
    <row r="37" spans="1:18">
      <c r="A37" s="420"/>
      <c r="B37" s="667" t="s">
        <v>467</v>
      </c>
      <c r="C37" s="421"/>
      <c r="D37" s="421"/>
      <c r="E37" s="421"/>
      <c r="F37" s="421"/>
      <c r="G37" s="421"/>
      <c r="H37" s="421"/>
      <c r="I37" s="421"/>
      <c r="J37" s="421"/>
      <c r="K37" s="421"/>
      <c r="L37" s="421"/>
      <c r="M37" s="421"/>
      <c r="N37" s="421"/>
      <c r="O37" s="421"/>
      <c r="P37" s="421"/>
      <c r="Q37" s="421"/>
      <c r="R37" s="421"/>
    </row>
    <row r="38" spans="1:18" s="370" customFormat="1">
      <c r="A38" s="420"/>
      <c r="B38" s="667" t="s">
        <v>468</v>
      </c>
      <c r="C38" s="421"/>
      <c r="D38" s="421"/>
      <c r="E38" s="421"/>
      <c r="F38" s="421"/>
      <c r="G38" s="421"/>
      <c r="H38" s="421"/>
      <c r="I38" s="421"/>
      <c r="J38" s="421"/>
      <c r="K38" s="421"/>
      <c r="L38" s="421"/>
      <c r="M38" s="421"/>
      <c r="N38" s="421"/>
      <c r="O38" s="421"/>
      <c r="P38" s="421"/>
      <c r="Q38" s="421"/>
      <c r="R38" s="421"/>
    </row>
    <row r="39" spans="1:18" s="370" customFormat="1">
      <c r="A39" s="420"/>
      <c r="B39" s="536" t="s">
        <v>469</v>
      </c>
      <c r="C39" s="421"/>
      <c r="D39" s="421"/>
      <c r="E39" s="421"/>
      <c r="F39" s="421"/>
      <c r="G39" s="421"/>
      <c r="H39" s="421"/>
      <c r="I39" s="421"/>
      <c r="J39" s="421"/>
      <c r="K39" s="421"/>
      <c r="L39" s="421"/>
      <c r="M39" s="421"/>
      <c r="N39" s="421"/>
      <c r="O39" s="421"/>
      <c r="P39" s="421"/>
      <c r="Q39" s="421"/>
      <c r="R39" s="421"/>
    </row>
    <row r="40" spans="1:18" s="370" customFormat="1">
      <c r="A40" s="420"/>
      <c r="B40" s="537" t="s">
        <v>470</v>
      </c>
      <c r="C40" s="421"/>
      <c r="D40" s="421"/>
      <c r="E40" s="421"/>
      <c r="F40" s="421"/>
      <c r="G40" s="421"/>
      <c r="H40" s="421"/>
      <c r="I40" s="421"/>
      <c r="J40" s="421"/>
      <c r="K40" s="421"/>
      <c r="L40" s="421"/>
      <c r="M40" s="421"/>
      <c r="N40" s="421"/>
      <c r="O40" s="421"/>
      <c r="P40" s="421"/>
      <c r="Q40" s="421"/>
      <c r="R40" s="421"/>
    </row>
    <row r="41" spans="1:18" s="370" customFormat="1" ht="3" customHeight="1">
      <c r="A41" s="420"/>
      <c r="B41" s="668"/>
      <c r="C41" s="421"/>
      <c r="D41" s="421"/>
      <c r="E41" s="421"/>
      <c r="F41" s="421"/>
      <c r="G41" s="421"/>
      <c r="H41" s="421"/>
      <c r="I41" s="421"/>
      <c r="J41" s="421"/>
      <c r="K41" s="421"/>
      <c r="L41" s="421"/>
      <c r="M41" s="421"/>
      <c r="N41" s="421"/>
      <c r="O41" s="421"/>
      <c r="P41" s="421"/>
      <c r="Q41" s="421"/>
      <c r="R41" s="421"/>
    </row>
    <row r="42" spans="1:18" s="370" customFormat="1">
      <c r="A42" s="420"/>
      <c r="B42" s="662" t="s">
        <v>471</v>
      </c>
      <c r="C42" s="421"/>
      <c r="D42" s="421"/>
      <c r="E42" s="421"/>
      <c r="F42" s="421"/>
      <c r="G42" s="421"/>
      <c r="H42" s="421"/>
      <c r="I42" s="421"/>
      <c r="J42" s="421"/>
      <c r="K42" s="421"/>
      <c r="L42" s="421"/>
      <c r="M42" s="421"/>
      <c r="N42" s="421"/>
      <c r="O42" s="421"/>
      <c r="P42" s="421"/>
      <c r="Q42" s="421"/>
      <c r="R42" s="421"/>
    </row>
    <row r="43" spans="1:18">
      <c r="A43" s="420"/>
      <c r="B43" s="662" t="s">
        <v>472</v>
      </c>
      <c r="C43" s="422"/>
      <c r="D43" s="422"/>
      <c r="E43" s="473"/>
      <c r="F43" s="422"/>
      <c r="G43" s="473"/>
      <c r="H43" s="422"/>
      <c r="I43" s="473"/>
      <c r="J43" s="422"/>
      <c r="K43" s="623"/>
      <c r="L43" s="623"/>
      <c r="M43" s="623"/>
      <c r="N43" s="623"/>
      <c r="O43" s="623"/>
      <c r="P43" s="623"/>
      <c r="Q43" s="623"/>
      <c r="R43" s="422"/>
    </row>
    <row r="44" spans="1:18" s="370" customFormat="1" ht="3.75" customHeight="1">
      <c r="A44" s="420"/>
      <c r="B44" s="662"/>
      <c r="C44" s="658"/>
      <c r="D44" s="658"/>
      <c r="E44" s="658"/>
      <c r="F44" s="658"/>
      <c r="G44" s="658"/>
      <c r="H44" s="658"/>
      <c r="I44" s="658"/>
      <c r="J44" s="658"/>
      <c r="K44" s="658"/>
      <c r="L44" s="658"/>
      <c r="M44" s="658"/>
      <c r="N44" s="658"/>
      <c r="O44" s="658"/>
      <c r="P44" s="658"/>
      <c r="Q44" s="658"/>
      <c r="R44" s="658"/>
    </row>
    <row r="45" spans="1:18" s="370" customFormat="1" ht="5.25" customHeight="1">
      <c r="A45" s="420"/>
      <c r="B45" s="658"/>
      <c r="C45" s="658"/>
      <c r="D45" s="658"/>
      <c r="E45" s="658"/>
      <c r="F45" s="658"/>
      <c r="G45" s="658"/>
      <c r="H45" s="658"/>
      <c r="I45" s="658"/>
      <c r="J45" s="658"/>
      <c r="K45" s="658"/>
      <c r="L45" s="658"/>
      <c r="M45" s="658"/>
      <c r="N45" s="658"/>
      <c r="O45" s="658"/>
      <c r="P45" s="658"/>
      <c r="Q45" s="658"/>
      <c r="R45" s="658"/>
    </row>
    <row r="46" spans="1:18" s="370" customFormat="1" ht="12.75" customHeight="1">
      <c r="A46" s="403">
        <v>3</v>
      </c>
      <c r="B46" s="661" t="s">
        <v>457</v>
      </c>
      <c r="C46" s="658"/>
      <c r="D46" s="658"/>
      <c r="E46" s="658"/>
      <c r="F46" s="658"/>
      <c r="G46" s="658"/>
      <c r="H46" s="658"/>
      <c r="I46" s="658"/>
      <c r="J46" s="658"/>
      <c r="K46" s="658"/>
      <c r="L46" s="658"/>
      <c r="M46" s="658"/>
      <c r="N46" s="658"/>
      <c r="O46" s="658"/>
      <c r="P46" s="658"/>
      <c r="Q46" s="658"/>
      <c r="R46" s="658"/>
    </row>
    <row r="47" spans="1:18" s="370" customFormat="1" ht="8.25" customHeight="1">
      <c r="A47" s="420"/>
      <c r="B47" s="662"/>
      <c r="C47" s="658"/>
      <c r="D47" s="658"/>
      <c r="E47" s="658"/>
      <c r="F47" s="658"/>
      <c r="G47" s="658"/>
      <c r="H47" s="658"/>
      <c r="I47" s="658"/>
      <c r="J47" s="658"/>
      <c r="K47" s="658"/>
      <c r="L47" s="658"/>
      <c r="M47" s="658"/>
      <c r="N47" s="658"/>
      <c r="O47" s="658"/>
      <c r="P47" s="658"/>
      <c r="Q47" s="658"/>
      <c r="R47" s="658"/>
    </row>
    <row r="48" spans="1:18" s="370" customFormat="1">
      <c r="A48" s="420"/>
      <c r="B48" s="662" t="s">
        <v>458</v>
      </c>
      <c r="C48" s="658"/>
      <c r="D48" s="658"/>
      <c r="E48" s="658"/>
      <c r="F48" s="658"/>
      <c r="G48" s="658"/>
      <c r="H48" s="658"/>
      <c r="I48" s="658"/>
      <c r="J48" s="658"/>
      <c r="K48" s="658"/>
      <c r="L48" s="658"/>
      <c r="M48" s="658"/>
      <c r="N48" s="658"/>
      <c r="O48" s="658"/>
      <c r="P48" s="658"/>
      <c r="Q48" s="658"/>
      <c r="R48" s="658"/>
    </row>
    <row r="49" spans="1:18" s="370" customFormat="1">
      <c r="A49" s="420"/>
      <c r="B49" s="662" t="s">
        <v>459</v>
      </c>
      <c r="C49" s="658"/>
      <c r="D49" s="658"/>
      <c r="E49" s="658"/>
      <c r="F49" s="658"/>
      <c r="G49" s="658"/>
      <c r="H49" s="658"/>
      <c r="I49" s="658"/>
      <c r="J49" s="658"/>
      <c r="K49" s="658"/>
      <c r="L49" s="658"/>
      <c r="M49" s="658"/>
      <c r="N49" s="658"/>
      <c r="O49" s="658"/>
      <c r="P49" s="658"/>
      <c r="Q49" s="658"/>
      <c r="R49" s="658"/>
    </row>
    <row r="50" spans="1:18" s="370" customFormat="1" ht="4.5" customHeight="1">
      <c r="A50" s="420"/>
      <c r="B50" s="663"/>
      <c r="C50" s="658"/>
      <c r="D50" s="658"/>
      <c r="E50" s="658"/>
      <c r="F50" s="658"/>
      <c r="G50" s="658"/>
      <c r="H50" s="658"/>
      <c r="I50" s="658"/>
      <c r="J50" s="658"/>
      <c r="K50" s="658"/>
      <c r="L50" s="658"/>
      <c r="M50" s="658"/>
      <c r="N50" s="658"/>
      <c r="O50" s="658"/>
      <c r="P50" s="658"/>
      <c r="Q50" s="658"/>
      <c r="R50" s="658"/>
    </row>
    <row r="51" spans="1:18" s="370" customFormat="1" ht="12.75" customHeight="1">
      <c r="A51" s="669">
        <v>4</v>
      </c>
      <c r="B51" s="661" t="s">
        <v>460</v>
      </c>
      <c r="C51" s="658"/>
      <c r="D51" s="658"/>
      <c r="E51" s="658"/>
      <c r="F51" s="658"/>
      <c r="G51" s="658"/>
      <c r="H51" s="658"/>
      <c r="I51" s="658"/>
      <c r="J51" s="658"/>
      <c r="K51" s="658"/>
      <c r="L51" s="658"/>
      <c r="M51" s="658"/>
      <c r="N51" s="658"/>
      <c r="O51" s="658"/>
      <c r="P51" s="658"/>
      <c r="Q51" s="658"/>
      <c r="R51" s="658"/>
    </row>
    <row r="52" spans="1:18" s="370" customFormat="1" ht="7.5" customHeight="1">
      <c r="A52" s="420"/>
      <c r="B52" s="664"/>
      <c r="C52" s="658"/>
      <c r="D52" s="658"/>
      <c r="E52" s="658"/>
      <c r="F52" s="658"/>
      <c r="G52" s="658"/>
      <c r="H52" s="658"/>
      <c r="I52" s="658"/>
      <c r="J52" s="658"/>
      <c r="K52" s="658"/>
      <c r="L52" s="658"/>
      <c r="M52" s="658"/>
      <c r="N52" s="658"/>
      <c r="O52" s="658"/>
      <c r="P52" s="658"/>
      <c r="Q52" s="658"/>
      <c r="R52" s="658"/>
    </row>
    <row r="53" spans="1:18" s="370" customFormat="1">
      <c r="A53" s="420"/>
      <c r="B53" s="662" t="s">
        <v>461</v>
      </c>
      <c r="C53" s="662"/>
      <c r="D53" s="662"/>
      <c r="E53" s="662"/>
      <c r="F53" s="662"/>
      <c r="G53" s="662"/>
      <c r="H53" s="662"/>
      <c r="I53" s="662"/>
      <c r="J53" s="662"/>
      <c r="K53" s="662"/>
      <c r="L53" s="662"/>
      <c r="M53" s="662"/>
      <c r="N53" s="662"/>
      <c r="O53" s="662"/>
      <c r="P53" s="662"/>
      <c r="Q53" s="662"/>
      <c r="R53" s="662"/>
    </row>
    <row r="54" spans="1:18" s="370" customFormat="1">
      <c r="A54" s="420"/>
      <c r="B54" s="662" t="s">
        <v>462</v>
      </c>
      <c r="C54" s="662"/>
      <c r="D54" s="662"/>
      <c r="E54" s="662"/>
      <c r="F54" s="662"/>
      <c r="G54" s="662"/>
      <c r="H54" s="662"/>
      <c r="I54" s="662"/>
      <c r="J54" s="662"/>
      <c r="K54" s="662"/>
      <c r="L54" s="662"/>
      <c r="M54" s="662"/>
      <c r="N54" s="662"/>
      <c r="O54" s="662"/>
      <c r="P54" s="662"/>
      <c r="Q54" s="662"/>
      <c r="R54" s="662"/>
    </row>
    <row r="55" spans="1:18">
      <c r="B55" s="662" t="s">
        <v>463</v>
      </c>
      <c r="C55" s="662"/>
      <c r="D55" s="662"/>
      <c r="E55" s="662"/>
      <c r="F55" s="662"/>
      <c r="G55" s="662"/>
      <c r="H55" s="662"/>
      <c r="I55" s="662"/>
      <c r="J55" s="662"/>
      <c r="K55" s="662"/>
      <c r="L55" s="662"/>
      <c r="M55" s="662"/>
      <c r="N55" s="662"/>
      <c r="O55" s="662"/>
      <c r="P55" s="662"/>
      <c r="Q55" s="662"/>
      <c r="R55" s="662"/>
    </row>
    <row r="56" spans="1:18" s="370" customFormat="1" ht="3.75" customHeight="1">
      <c r="A56" s="369"/>
      <c r="B56" s="665"/>
      <c r="D56" s="368"/>
      <c r="E56" s="368"/>
    </row>
    <row r="57" spans="1:18" s="370" customFormat="1">
      <c r="A57" s="369"/>
      <c r="B57" s="66" t="s">
        <v>464</v>
      </c>
      <c r="C57" s="537"/>
      <c r="D57" s="368"/>
      <c r="E57" s="368"/>
    </row>
    <row r="58" spans="1:18" s="370" customFormat="1">
      <c r="A58" s="369"/>
      <c r="B58" s="66" t="s">
        <v>465</v>
      </c>
      <c r="C58" s="537"/>
      <c r="D58" s="368"/>
      <c r="E58" s="368"/>
    </row>
    <row r="59" spans="1:18" s="370" customFormat="1" ht="1.5" customHeight="1">
      <c r="A59" s="369"/>
      <c r="B59" s="666"/>
      <c r="C59" s="537"/>
      <c r="D59" s="368"/>
      <c r="E59" s="368"/>
    </row>
    <row r="60" spans="1:18" s="370" customFormat="1" ht="11.25" customHeight="1">
      <c r="A60" s="369">
        <v>5</v>
      </c>
      <c r="B60" s="366" t="s">
        <v>75</v>
      </c>
      <c r="D60" s="28"/>
      <c r="E60" s="28"/>
      <c r="F60" s="28"/>
      <c r="G60" s="28"/>
      <c r="H60" s="28"/>
      <c r="I60" s="28"/>
      <c r="J60" s="28"/>
      <c r="K60" s="628"/>
      <c r="L60" s="628"/>
      <c r="M60" s="628"/>
      <c r="N60" s="628"/>
      <c r="O60" s="628"/>
      <c r="P60" s="628"/>
      <c r="Q60" s="628"/>
      <c r="R60" s="541"/>
    </row>
    <row r="61" spans="1:18" s="370" customFormat="1">
      <c r="A61" s="369"/>
      <c r="B61" s="366"/>
      <c r="D61" s="776" t="s">
        <v>445</v>
      </c>
      <c r="E61" s="777"/>
      <c r="F61" s="777"/>
      <c r="G61" s="777"/>
      <c r="H61" s="777"/>
      <c r="I61" s="777"/>
      <c r="J61" s="778"/>
      <c r="K61" s="28"/>
      <c r="L61" s="776" t="s">
        <v>420</v>
      </c>
      <c r="M61" s="777"/>
      <c r="N61" s="777"/>
      <c r="O61" s="777"/>
      <c r="P61" s="777"/>
      <c r="Q61" s="777"/>
      <c r="R61" s="778"/>
    </row>
    <row r="62" spans="1:18" ht="33" customHeight="1">
      <c r="A62" s="369"/>
      <c r="C62" s="370"/>
      <c r="D62" s="610" t="s">
        <v>423</v>
      </c>
      <c r="E62" s="4"/>
      <c r="F62" s="610" t="s">
        <v>425</v>
      </c>
      <c r="G62" s="4"/>
      <c r="H62" s="611" t="s">
        <v>424</v>
      </c>
      <c r="I62" s="506"/>
      <c r="J62" s="611" t="s">
        <v>213</v>
      </c>
      <c r="K62" s="556"/>
      <c r="L62" s="610" t="s">
        <v>423</v>
      </c>
      <c r="M62" s="4"/>
      <c r="N62" s="610" t="s">
        <v>425</v>
      </c>
      <c r="O62" s="4"/>
      <c r="P62" s="611" t="s">
        <v>424</v>
      </c>
      <c r="Q62" s="506"/>
      <c r="R62" s="611" t="s">
        <v>213</v>
      </c>
    </row>
    <row r="63" spans="1:18" s="370" customFormat="1">
      <c r="A63" s="369"/>
      <c r="B63" s="58"/>
      <c r="D63" s="786" t="s">
        <v>426</v>
      </c>
      <c r="E63" s="787"/>
      <c r="F63" s="787"/>
      <c r="G63" s="787"/>
      <c r="H63" s="787"/>
      <c r="I63" s="787"/>
      <c r="J63" s="787"/>
      <c r="K63" s="787"/>
      <c r="L63" s="787"/>
      <c r="M63" s="787"/>
      <c r="N63" s="787"/>
      <c r="O63" s="787"/>
      <c r="P63" s="787"/>
      <c r="Q63" s="787"/>
      <c r="R63" s="788"/>
    </row>
    <row r="64" spans="1:18" s="370" customFormat="1">
      <c r="A64" s="369"/>
      <c r="B64" s="58"/>
      <c r="D64" s="547"/>
      <c r="E64" s="547"/>
      <c r="F64" s="548"/>
      <c r="G64" s="548"/>
      <c r="H64" s="548"/>
      <c r="I64" s="548"/>
      <c r="J64" s="548"/>
      <c r="K64" s="622"/>
      <c r="L64" s="622"/>
      <c r="M64" s="622"/>
      <c r="N64" s="622"/>
      <c r="O64" s="622"/>
      <c r="P64" s="622"/>
      <c r="Q64" s="622"/>
      <c r="R64" s="548"/>
    </row>
    <row r="65" spans="1:18" s="370" customFormat="1">
      <c r="A65" s="369"/>
      <c r="B65" s="58"/>
      <c r="D65" s="547"/>
      <c r="E65" s="547"/>
      <c r="F65" s="548"/>
      <c r="G65" s="548"/>
      <c r="H65" s="548"/>
      <c r="I65" s="548"/>
      <c r="J65" s="548"/>
      <c r="K65" s="622"/>
      <c r="L65" s="622"/>
      <c r="M65" s="622"/>
      <c r="N65" s="622"/>
      <c r="O65" s="622"/>
      <c r="P65" s="622"/>
      <c r="Q65" s="622"/>
      <c r="R65" s="548"/>
    </row>
    <row r="66" spans="1:18" ht="15">
      <c r="A66" s="377"/>
      <c r="B66" s="365" t="s">
        <v>473</v>
      </c>
      <c r="C66" s="376"/>
      <c r="D66" s="634">
        <v>9222.741</v>
      </c>
      <c r="E66" s="635"/>
      <c r="F66" s="634">
        <v>9528.4500000000007</v>
      </c>
      <c r="G66" s="635"/>
      <c r="H66" s="634">
        <v>68136.512000000002</v>
      </c>
      <c r="I66" s="635"/>
      <c r="J66" s="634">
        <v>86887.703000000009</v>
      </c>
      <c r="K66" s="545"/>
      <c r="L66" s="544">
        <v>74247</v>
      </c>
      <c r="M66" s="364"/>
      <c r="N66" s="544">
        <v>75736</v>
      </c>
      <c r="O66" s="364"/>
      <c r="P66" s="544">
        <v>78562</v>
      </c>
      <c r="Q66" s="364"/>
      <c r="R66" s="544">
        <v>228545</v>
      </c>
    </row>
    <row r="67" spans="1:18" ht="12.75" thickBot="1">
      <c r="A67" s="377"/>
      <c r="B67" s="376"/>
      <c r="C67" s="376"/>
      <c r="D67" s="631">
        <v>9222.741</v>
      </c>
      <c r="E67" s="632"/>
      <c r="F67" s="631">
        <v>9528.4500000000007</v>
      </c>
      <c r="G67" s="632"/>
      <c r="H67" s="631">
        <v>68136.512000000002</v>
      </c>
      <c r="I67" s="633"/>
      <c r="J67" s="631">
        <v>86887.703000000009</v>
      </c>
      <c r="K67" s="629"/>
      <c r="L67" s="546">
        <v>74247</v>
      </c>
      <c r="M67" s="376"/>
      <c r="N67" s="546">
        <v>75736</v>
      </c>
      <c r="O67" s="376"/>
      <c r="P67" s="546">
        <v>78562</v>
      </c>
      <c r="Q67" s="542"/>
      <c r="R67" s="546">
        <v>228545</v>
      </c>
    </row>
    <row r="68" spans="1:18" ht="9" customHeight="1" thickTop="1">
      <c r="A68" s="377"/>
      <c r="B68" s="376"/>
      <c r="C68" s="376"/>
      <c r="D68" s="376"/>
      <c r="E68" s="376"/>
      <c r="F68" s="376"/>
      <c r="G68" s="376"/>
      <c r="H68" s="376"/>
      <c r="I68" s="376"/>
      <c r="J68" s="376"/>
      <c r="K68" s="376"/>
      <c r="L68" s="376"/>
      <c r="M68" s="376"/>
      <c r="N68" s="376"/>
      <c r="O68" s="376"/>
      <c r="P68" s="376"/>
      <c r="Q68" s="376"/>
      <c r="R68" s="376"/>
    </row>
    <row r="69" spans="1:18">
      <c r="A69" s="670">
        <v>5.0999999999999996</v>
      </c>
      <c r="B69" s="374" t="s">
        <v>523</v>
      </c>
      <c r="C69" s="376"/>
      <c r="D69" s="376"/>
      <c r="E69" s="376"/>
      <c r="F69" s="376"/>
      <c r="G69" s="376"/>
      <c r="H69" s="376"/>
      <c r="I69" s="376"/>
      <c r="J69" s="376"/>
      <c r="K69" s="376"/>
      <c r="L69" s="376"/>
      <c r="M69" s="376"/>
      <c r="N69" s="376"/>
      <c r="O69" s="376"/>
      <c r="P69" s="376"/>
      <c r="Q69" s="376"/>
      <c r="R69" s="376"/>
    </row>
    <row r="70" spans="1:18" ht="8.25" customHeight="1">
      <c r="A70" s="377"/>
      <c r="B70" s="374"/>
      <c r="C70" s="376"/>
      <c r="D70" s="376"/>
      <c r="E70" s="376"/>
      <c r="F70" s="376"/>
      <c r="G70" s="376"/>
      <c r="H70" s="376"/>
      <c r="I70" s="376"/>
      <c r="J70" s="376"/>
      <c r="K70" s="376"/>
      <c r="L70" s="376"/>
      <c r="M70" s="376"/>
      <c r="N70" s="376"/>
      <c r="O70" s="376"/>
      <c r="P70" s="376"/>
      <c r="Q70" s="376"/>
      <c r="R70" s="376"/>
    </row>
    <row r="71" spans="1:18" ht="15" customHeight="1">
      <c r="A71" s="369">
        <v>6</v>
      </c>
      <c r="B71" s="1" t="s">
        <v>90</v>
      </c>
      <c r="C71" s="415"/>
      <c r="D71" s="28"/>
      <c r="E71" s="28"/>
      <c r="F71" s="28"/>
      <c r="G71" s="28"/>
      <c r="H71" s="28"/>
      <c r="I71" s="28"/>
      <c r="J71" s="28"/>
      <c r="K71" s="628"/>
      <c r="L71" s="628"/>
      <c r="M71" s="628"/>
      <c r="N71" s="628"/>
      <c r="O71" s="628"/>
      <c r="P71" s="628"/>
      <c r="Q71" s="628"/>
      <c r="R71" s="541"/>
    </row>
    <row r="72" spans="1:18" s="370" customFormat="1" ht="15" customHeight="1">
      <c r="A72" s="368"/>
      <c r="B72" s="1"/>
      <c r="C72" s="415"/>
      <c r="D72" s="776" t="s">
        <v>445</v>
      </c>
      <c r="E72" s="777"/>
      <c r="F72" s="777"/>
      <c r="G72" s="777"/>
      <c r="H72" s="777"/>
      <c r="I72" s="777"/>
      <c r="J72" s="778"/>
      <c r="K72" s="28"/>
      <c r="L72" s="776" t="s">
        <v>420</v>
      </c>
      <c r="M72" s="777"/>
      <c r="N72" s="777"/>
      <c r="O72" s="777"/>
      <c r="P72" s="777"/>
      <c r="Q72" s="777"/>
      <c r="R72" s="778"/>
    </row>
    <row r="73" spans="1:18" ht="36">
      <c r="A73" s="108"/>
      <c r="B73" s="1"/>
      <c r="C73" s="40"/>
      <c r="D73" s="610" t="s">
        <v>423</v>
      </c>
      <c r="E73" s="4"/>
      <c r="F73" s="610" t="s">
        <v>425</v>
      </c>
      <c r="G73" s="4"/>
      <c r="H73" s="611" t="s">
        <v>424</v>
      </c>
      <c r="I73" s="506"/>
      <c r="J73" s="611" t="s">
        <v>213</v>
      </c>
      <c r="K73" s="556"/>
      <c r="L73" s="610" t="s">
        <v>423</v>
      </c>
      <c r="M73" s="4"/>
      <c r="N73" s="610" t="s">
        <v>425</v>
      </c>
      <c r="O73" s="4"/>
      <c r="P73" s="611" t="s">
        <v>424</v>
      </c>
      <c r="Q73" s="506"/>
      <c r="R73" s="611" t="s">
        <v>213</v>
      </c>
    </row>
    <row r="74" spans="1:18">
      <c r="A74" s="372"/>
      <c r="B74" s="367"/>
      <c r="C74" s="414"/>
      <c r="D74" s="786" t="s">
        <v>426</v>
      </c>
      <c r="E74" s="787"/>
      <c r="F74" s="787"/>
      <c r="G74" s="787"/>
      <c r="H74" s="787"/>
      <c r="I74" s="787"/>
      <c r="J74" s="787"/>
      <c r="K74" s="787"/>
      <c r="L74" s="787"/>
      <c r="M74" s="787"/>
      <c r="N74" s="787"/>
      <c r="O74" s="787"/>
      <c r="P74" s="787"/>
      <c r="Q74" s="787"/>
      <c r="R74" s="788"/>
    </row>
    <row r="75" spans="1:18" ht="15" customHeight="1">
      <c r="A75" s="69"/>
      <c r="B75" s="97" t="s">
        <v>315</v>
      </c>
      <c r="C75" s="40"/>
      <c r="D75" s="71"/>
      <c r="E75" s="71"/>
      <c r="F75" s="62"/>
      <c r="G75" s="62"/>
      <c r="H75" s="40"/>
      <c r="I75" s="40"/>
      <c r="J75" s="1"/>
      <c r="K75" s="1"/>
      <c r="L75" s="1"/>
      <c r="M75" s="1"/>
      <c r="N75" s="1"/>
      <c r="O75" s="1"/>
      <c r="P75" s="1"/>
      <c r="Q75" s="1"/>
      <c r="R75" s="67"/>
    </row>
    <row r="76" spans="1:18" s="370" customFormat="1" ht="4.5" customHeight="1">
      <c r="A76" s="69"/>
      <c r="B76" s="97"/>
      <c r="C76" s="40"/>
      <c r="D76" s="71"/>
      <c r="E76" s="71"/>
      <c r="F76" s="62"/>
      <c r="G76" s="62"/>
      <c r="H76" s="40"/>
      <c r="I76" s="40"/>
      <c r="J76" s="1"/>
      <c r="K76" s="1"/>
      <c r="L76" s="1"/>
      <c r="M76" s="1"/>
      <c r="N76" s="1"/>
      <c r="O76" s="1"/>
      <c r="P76" s="1"/>
      <c r="Q76" s="1"/>
      <c r="R76" s="67"/>
    </row>
    <row r="77" spans="1:18">
      <c r="A77" s="69"/>
      <c r="B77" s="66" t="s">
        <v>474</v>
      </c>
      <c r="C77" s="40"/>
      <c r="D77" s="636">
        <v>97014.728000000003</v>
      </c>
      <c r="E77" s="637"/>
      <c r="F77" s="636">
        <v>0</v>
      </c>
      <c r="G77" s="638"/>
      <c r="H77" s="636">
        <v>0</v>
      </c>
      <c r="I77" s="639"/>
      <c r="J77" s="558">
        <v>97014.728000000003</v>
      </c>
      <c r="K77" s="68"/>
      <c r="L77" s="549">
        <v>26193</v>
      </c>
      <c r="M77" s="41"/>
      <c r="N77" s="549">
        <v>0</v>
      </c>
      <c r="O77" s="62"/>
      <c r="P77" s="549">
        <v>0</v>
      </c>
      <c r="Q77" s="84"/>
      <c r="R77" s="68">
        <v>26193</v>
      </c>
    </row>
    <row r="78" spans="1:18" s="370" customFormat="1">
      <c r="A78" s="69"/>
      <c r="B78" s="66" t="s">
        <v>522</v>
      </c>
      <c r="C78" s="40"/>
      <c r="D78" s="636"/>
      <c r="E78" s="637"/>
      <c r="F78" s="636">
        <v>70556</v>
      </c>
      <c r="G78" s="638"/>
      <c r="H78" s="636">
        <v>16170</v>
      </c>
      <c r="I78" s="639"/>
      <c r="J78" s="558">
        <v>86726</v>
      </c>
      <c r="K78" s="68"/>
      <c r="L78" s="549"/>
      <c r="M78" s="41"/>
      <c r="N78" s="549"/>
      <c r="O78" s="62"/>
      <c r="P78" s="549"/>
      <c r="Q78" s="84"/>
      <c r="R78" s="68"/>
    </row>
    <row r="79" spans="1:18">
      <c r="A79" s="69"/>
      <c r="B79" s="98"/>
      <c r="C79" s="40"/>
      <c r="D79" s="637"/>
      <c r="E79" s="637"/>
      <c r="F79" s="638"/>
      <c r="G79" s="638"/>
      <c r="H79" s="639"/>
      <c r="I79" s="639"/>
      <c r="J79" s="640"/>
      <c r="K79" s="111"/>
      <c r="L79" s="41"/>
      <c r="M79" s="41"/>
      <c r="N79" s="62"/>
      <c r="O79" s="62"/>
      <c r="P79" s="84"/>
      <c r="Q79" s="84"/>
      <c r="R79" s="111"/>
    </row>
    <row r="80" spans="1:18" ht="12.75" thickBot="1">
      <c r="A80" s="69"/>
      <c r="B80" s="66"/>
      <c r="C80" s="40"/>
      <c r="D80" s="641">
        <v>97014.728000000003</v>
      </c>
      <c r="E80" s="637"/>
      <c r="F80" s="641">
        <v>70556</v>
      </c>
      <c r="G80" s="638"/>
      <c r="H80" s="641">
        <v>16170</v>
      </c>
      <c r="I80" s="639"/>
      <c r="J80" s="641">
        <v>183740.728</v>
      </c>
      <c r="K80" s="630"/>
      <c r="L80" s="550">
        <v>26193</v>
      </c>
      <c r="M80" s="41"/>
      <c r="N80" s="550">
        <v>0</v>
      </c>
      <c r="O80" s="62"/>
      <c r="P80" s="550">
        <v>0</v>
      </c>
      <c r="Q80" s="84"/>
      <c r="R80" s="550">
        <v>26193</v>
      </c>
    </row>
    <row r="81" spans="1:18" ht="12.75" thickTop="1">
      <c r="A81" s="69"/>
      <c r="B81" s="66"/>
      <c r="C81" s="40"/>
      <c r="D81" s="41"/>
      <c r="E81" s="41"/>
      <c r="F81" s="62"/>
      <c r="G81" s="62"/>
      <c r="H81" s="84"/>
      <c r="I81" s="84"/>
      <c r="J81" s="111"/>
      <c r="K81" s="111"/>
      <c r="L81" s="111"/>
      <c r="M81" s="111"/>
      <c r="N81" s="111"/>
      <c r="O81" s="111"/>
      <c r="P81" s="111"/>
      <c r="Q81" s="111"/>
      <c r="R81" s="84"/>
    </row>
    <row r="82" spans="1:18">
      <c r="A82" s="69"/>
      <c r="B82" s="62"/>
      <c r="C82" s="62"/>
      <c r="D82" s="62"/>
      <c r="E82" s="62"/>
      <c r="F82" s="62"/>
      <c r="G82" s="62"/>
      <c r="H82" s="84"/>
      <c r="I82" s="84"/>
      <c r="J82" s="73"/>
      <c r="K82" s="73"/>
      <c r="L82" s="73"/>
      <c r="M82" s="73"/>
      <c r="N82" s="73"/>
      <c r="O82" s="73"/>
      <c r="P82" s="73"/>
      <c r="Q82" s="73"/>
      <c r="R82" s="84"/>
    </row>
    <row r="83" spans="1:18">
      <c r="A83" s="69"/>
      <c r="B83" s="103"/>
      <c r="C83" s="40"/>
      <c r="D83" s="41"/>
      <c r="E83" s="41"/>
      <c r="F83" s="62"/>
      <c r="G83" s="62"/>
      <c r="H83" s="84"/>
      <c r="I83" s="84"/>
      <c r="J83" s="111"/>
      <c r="K83" s="111"/>
      <c r="L83" s="111"/>
      <c r="M83" s="111"/>
      <c r="N83" s="111"/>
      <c r="O83" s="111"/>
      <c r="P83" s="111"/>
      <c r="Q83" s="111"/>
      <c r="R83" s="84"/>
    </row>
    <row r="84" spans="1:18">
      <c r="A84" s="69"/>
      <c r="B84" s="74"/>
      <c r="C84" s="40"/>
      <c r="D84" s="41"/>
      <c r="E84" s="41"/>
      <c r="F84" s="62"/>
      <c r="G84" s="62"/>
      <c r="H84" s="84"/>
      <c r="I84" s="84"/>
      <c r="J84" s="111"/>
      <c r="K84" s="111"/>
      <c r="L84" s="111"/>
      <c r="M84" s="111"/>
      <c r="N84" s="111"/>
      <c r="O84" s="111"/>
      <c r="P84" s="111"/>
      <c r="Q84" s="111"/>
      <c r="R84" s="84"/>
    </row>
    <row r="85" spans="1:18">
      <c r="A85" s="69"/>
      <c r="B85" s="104"/>
      <c r="C85" s="40"/>
      <c r="D85" s="41"/>
      <c r="E85" s="41"/>
      <c r="F85" s="62"/>
      <c r="G85" s="62"/>
      <c r="H85" s="84"/>
      <c r="I85" s="84"/>
      <c r="J85" s="111"/>
      <c r="K85" s="111"/>
      <c r="L85" s="111"/>
      <c r="M85" s="111"/>
      <c r="N85" s="111"/>
      <c r="O85" s="111"/>
      <c r="P85" s="111"/>
      <c r="Q85" s="111"/>
      <c r="R85" s="84"/>
    </row>
    <row r="86" spans="1:18">
      <c r="A86" s="69"/>
      <c r="B86" s="66"/>
      <c r="C86" s="40"/>
      <c r="D86" s="41"/>
      <c r="E86" s="41"/>
      <c r="F86" s="62"/>
      <c r="G86" s="62"/>
      <c r="H86" s="84"/>
      <c r="I86" s="84"/>
      <c r="J86" s="111"/>
      <c r="K86" s="111"/>
      <c r="L86" s="111"/>
      <c r="M86" s="111"/>
      <c r="N86" s="111"/>
      <c r="O86" s="111"/>
      <c r="P86" s="111"/>
      <c r="Q86" s="111"/>
      <c r="R86" s="84"/>
    </row>
    <row r="87" spans="1:18">
      <c r="A87" s="69"/>
      <c r="B87" s="74"/>
      <c r="C87" s="40"/>
      <c r="D87" s="41"/>
      <c r="E87" s="41"/>
      <c r="F87" s="62"/>
      <c r="G87" s="62"/>
      <c r="H87" s="84"/>
      <c r="I87" s="84"/>
      <c r="J87" s="111"/>
      <c r="K87" s="111"/>
      <c r="L87" s="111"/>
      <c r="M87" s="111"/>
      <c r="N87" s="111"/>
      <c r="O87" s="111"/>
      <c r="P87" s="111"/>
      <c r="Q87" s="111"/>
      <c r="R87" s="84"/>
    </row>
    <row r="88" spans="1:18">
      <c r="A88" s="69"/>
      <c r="B88" s="66"/>
      <c r="C88" s="40"/>
      <c r="D88" s="41"/>
      <c r="E88" s="41"/>
      <c r="F88" s="110"/>
      <c r="G88" s="110"/>
      <c r="H88" s="543"/>
      <c r="I88" s="543"/>
      <c r="J88" s="111"/>
      <c r="K88" s="111"/>
      <c r="L88" s="111"/>
      <c r="M88" s="111"/>
      <c r="N88" s="111"/>
      <c r="O88" s="111"/>
      <c r="P88" s="111"/>
      <c r="Q88" s="111"/>
      <c r="R88" s="543"/>
    </row>
    <row r="89" spans="1:18">
      <c r="A89" s="69"/>
      <c r="B89" s="66"/>
      <c r="C89" s="40"/>
      <c r="D89" s="40"/>
      <c r="E89" s="40"/>
      <c r="F89" s="41"/>
      <c r="G89" s="41"/>
      <c r="H89" s="68"/>
      <c r="I89" s="68"/>
      <c r="J89" s="68"/>
      <c r="K89" s="68"/>
      <c r="L89" s="68"/>
      <c r="M89" s="68"/>
      <c r="N89" s="68"/>
      <c r="O89" s="68"/>
      <c r="P89" s="68"/>
      <c r="Q89" s="68"/>
      <c r="R89" s="68"/>
    </row>
    <row r="90" spans="1:18">
      <c r="A90" s="69"/>
      <c r="B90" s="66"/>
      <c r="C90" s="40"/>
      <c r="D90" s="40"/>
      <c r="E90" s="40"/>
      <c r="F90" s="62"/>
      <c r="G90" s="62"/>
      <c r="H90" s="84"/>
      <c r="I90" s="84"/>
      <c r="J90" s="111"/>
      <c r="K90" s="111"/>
      <c r="L90" s="111"/>
      <c r="M90" s="111"/>
      <c r="N90" s="111"/>
      <c r="O90" s="111"/>
      <c r="P90" s="111"/>
      <c r="Q90" s="111"/>
      <c r="R90" s="84"/>
    </row>
  </sheetData>
  <customSheetViews>
    <customSheetView guid="{84FBBE83-FF6F-4C76-A58E-D04643F715A5}" showPageBreaks="1" printArea="1" view="pageBreakPreview" topLeftCell="A10">
      <selection activeCell="K26" sqref="K26"/>
      <pageMargins left="0.75" right="0.5" top="0.5" bottom="0.25" header="0.17" footer="0.42"/>
      <printOptions horizontalCentered="1"/>
      <pageSetup paperSize="9" fitToWidth="12" fitToHeight="12" orientation="portrait" r:id="rId1"/>
      <headerFooter alignWithMargins="0">
        <oddFooter>&amp;C7 of 11</oddFooter>
      </headerFooter>
    </customSheetView>
  </customSheetViews>
  <mergeCells count="6">
    <mergeCell ref="D74:R74"/>
    <mergeCell ref="D61:J61"/>
    <mergeCell ref="L61:R61"/>
    <mergeCell ref="D63:R63"/>
    <mergeCell ref="D72:J72"/>
    <mergeCell ref="L72:R72"/>
  </mergeCells>
  <phoneticPr fontId="23" type="noConversion"/>
  <printOptions horizontalCentered="1"/>
  <pageMargins left="0.75" right="0.5" top="0.5" bottom="0.25" header="0.17" footer="0.42"/>
  <pageSetup paperSize="9" scale="87" fitToWidth="12" fitToHeight="12" orientation="portrait" r:id="rId2"/>
  <headerFooter alignWithMargins="0">
    <oddFooter>&amp;C6 of 9</oddFooter>
  </headerFooter>
  <drawing r:id="rId3"/>
</worksheet>
</file>

<file path=xl/worksheets/sheet17.xml><?xml version="1.0" encoding="utf-8"?>
<worksheet xmlns="http://schemas.openxmlformats.org/spreadsheetml/2006/main" xmlns:r="http://schemas.openxmlformats.org/officeDocument/2006/relationships">
  <dimension ref="A1:Q92"/>
  <sheetViews>
    <sheetView view="pageBreakPreview" topLeftCell="A67" zoomScale="90" zoomScaleSheetLayoutView="90" workbookViewId="0">
      <selection activeCell="C75" sqref="C75"/>
    </sheetView>
  </sheetViews>
  <sheetFormatPr defaultRowHeight="12" outlineLevelRow="2"/>
  <cols>
    <col min="1" max="1" width="6.25" style="371" bestFit="1" customWidth="1"/>
    <col min="2" max="2" width="7.625" style="371" hidden="1" customWidth="1"/>
    <col min="3" max="3" width="35.625" style="371" customWidth="1"/>
    <col min="4" max="4" width="7.625" style="371" hidden="1" customWidth="1"/>
    <col min="5" max="5" width="0.125" style="371" customWidth="1"/>
    <col min="6" max="7" width="11" style="371" customWidth="1"/>
    <col min="8" max="8" width="10.875" style="371" customWidth="1"/>
    <col min="9" max="9" width="12.625" style="371" customWidth="1"/>
    <col min="10" max="10" width="11.125" style="371" bestFit="1" customWidth="1"/>
    <col min="11" max="11" width="11.75" style="371" customWidth="1"/>
    <col min="12" max="12" width="11.125" style="38" customWidth="1"/>
    <col min="13" max="13" width="11.625" style="38" customWidth="1"/>
    <col min="14" max="14" width="11.375" style="176" customWidth="1"/>
    <col min="15" max="15" width="12.375" style="176" customWidth="1"/>
    <col min="16" max="16" width="13" style="371" customWidth="1"/>
    <col min="17" max="16384" width="9" style="371"/>
  </cols>
  <sheetData>
    <row r="1" spans="1:16">
      <c r="B1" s="588" t="s">
        <v>381</v>
      </c>
      <c r="C1" s="588" t="s">
        <v>381</v>
      </c>
      <c r="D1" s="588"/>
      <c r="E1" s="588"/>
      <c r="F1" s="589"/>
      <c r="G1" s="589"/>
      <c r="H1" s="589"/>
      <c r="I1" s="589"/>
      <c r="J1" s="589"/>
      <c r="K1" s="589"/>
      <c r="L1" s="589"/>
      <c r="M1" s="589"/>
      <c r="N1" s="590"/>
      <c r="O1" s="590"/>
    </row>
    <row r="2" spans="1:16">
      <c r="B2" s="588" t="s">
        <v>382</v>
      </c>
      <c r="C2" s="588" t="s">
        <v>382</v>
      </c>
      <c r="D2" s="588"/>
      <c r="E2" s="588"/>
      <c r="F2" s="591"/>
      <c r="G2" s="591"/>
      <c r="H2" s="591"/>
      <c r="I2" s="591"/>
      <c r="J2" s="591"/>
      <c r="K2" s="591"/>
      <c r="L2" s="591"/>
      <c r="M2" s="591"/>
      <c r="N2" s="592"/>
      <c r="O2" s="592"/>
      <c r="P2" s="593"/>
    </row>
    <row r="3" spans="1:16">
      <c r="B3" s="594" t="s">
        <v>408</v>
      </c>
      <c r="C3" s="594" t="s">
        <v>525</v>
      </c>
      <c r="D3" s="594"/>
      <c r="E3" s="594"/>
      <c r="F3" s="595"/>
      <c r="G3" s="595"/>
      <c r="H3" s="595"/>
      <c r="I3" s="595"/>
      <c r="J3" s="595"/>
      <c r="K3" s="595"/>
      <c r="L3" s="595"/>
      <c r="M3" s="595"/>
      <c r="N3" s="596"/>
      <c r="O3" s="588"/>
    </row>
    <row r="4" spans="1:16">
      <c r="B4" s="597"/>
      <c r="C4" s="597"/>
      <c r="D4" s="597"/>
      <c r="E4" s="597"/>
      <c r="F4" s="591"/>
      <c r="G4" s="591"/>
      <c r="H4" s="591"/>
      <c r="I4" s="591"/>
      <c r="J4" s="591"/>
      <c r="K4" s="591"/>
      <c r="L4" s="591"/>
      <c r="M4" s="591"/>
      <c r="N4" s="592"/>
      <c r="O4" s="592"/>
      <c r="P4" s="593"/>
    </row>
    <row r="5" spans="1:16">
      <c r="B5" s="597"/>
      <c r="C5" s="597"/>
      <c r="D5" s="597"/>
      <c r="E5" s="597"/>
      <c r="F5" s="591"/>
      <c r="G5" s="591"/>
      <c r="H5" s="591"/>
      <c r="I5" s="591"/>
      <c r="J5" s="591"/>
      <c r="K5" s="591"/>
      <c r="L5" s="591"/>
      <c r="M5" s="591"/>
      <c r="N5" s="592"/>
      <c r="O5" s="592"/>
      <c r="P5" s="593"/>
    </row>
    <row r="6" spans="1:16" ht="79.5" customHeight="1">
      <c r="A6" s="598" t="s">
        <v>383</v>
      </c>
      <c r="B6" s="598" t="s">
        <v>409</v>
      </c>
      <c r="C6" s="598" t="s">
        <v>384</v>
      </c>
      <c r="D6" s="598" t="s">
        <v>385</v>
      </c>
      <c r="E6" s="598" t="s">
        <v>386</v>
      </c>
      <c r="F6" s="693" t="s">
        <v>387</v>
      </c>
      <c r="G6" s="694" t="s">
        <v>388</v>
      </c>
      <c r="H6" s="694" t="s">
        <v>389</v>
      </c>
      <c r="I6" s="694" t="s">
        <v>390</v>
      </c>
      <c r="J6" s="694" t="s">
        <v>391</v>
      </c>
      <c r="K6" s="694" t="s">
        <v>475</v>
      </c>
      <c r="L6" s="694" t="s">
        <v>476</v>
      </c>
      <c r="M6" s="694" t="s">
        <v>477</v>
      </c>
      <c r="N6" s="695" t="s">
        <v>526</v>
      </c>
      <c r="O6" s="695" t="s">
        <v>392</v>
      </c>
      <c r="P6" s="696" t="s">
        <v>393</v>
      </c>
    </row>
    <row r="7" spans="1:16" outlineLevel="1">
      <c r="A7" s="599"/>
      <c r="B7" s="599"/>
      <c r="C7" s="697"/>
      <c r="D7" s="599"/>
      <c r="E7" s="599"/>
      <c r="F7" s="698" t="s">
        <v>524</v>
      </c>
      <c r="G7" s="699"/>
      <c r="H7" s="699"/>
      <c r="I7" s="699"/>
      <c r="J7" s="699"/>
      <c r="K7" s="699"/>
      <c r="L7" s="700" t="s">
        <v>394</v>
      </c>
      <c r="M7" s="699"/>
      <c r="N7" s="796" t="s">
        <v>527</v>
      </c>
      <c r="O7" s="796"/>
      <c r="P7" s="796"/>
    </row>
    <row r="8" spans="1:16" outlineLevel="1">
      <c r="A8" s="599"/>
      <c r="B8" s="599"/>
      <c r="C8" s="702" t="s">
        <v>398</v>
      </c>
      <c r="D8" s="599"/>
      <c r="E8" s="599"/>
      <c r="F8" s="698"/>
      <c r="G8" s="699"/>
      <c r="H8" s="699"/>
      <c r="I8" s="699"/>
      <c r="J8" s="699"/>
      <c r="K8" s="699"/>
      <c r="L8" s="700"/>
      <c r="M8" s="699"/>
      <c r="N8" s="700"/>
      <c r="O8" s="701"/>
      <c r="P8" s="701"/>
    </row>
    <row r="9" spans="1:16" outlineLevel="2">
      <c r="A9" s="600">
        <v>1</v>
      </c>
      <c r="B9" s="601" t="s">
        <v>299</v>
      </c>
      <c r="C9" s="601" t="s">
        <v>486</v>
      </c>
      <c r="D9" s="703">
        <v>6</v>
      </c>
      <c r="E9" s="704" t="s">
        <v>398</v>
      </c>
      <c r="F9" s="703">
        <v>0</v>
      </c>
      <c r="G9" s="38">
        <v>20000</v>
      </c>
      <c r="H9" s="38">
        <v>0</v>
      </c>
      <c r="I9" s="38">
        <v>0</v>
      </c>
      <c r="J9" s="38">
        <v>0</v>
      </c>
      <c r="K9" s="38">
        <v>20000</v>
      </c>
      <c r="L9" s="38">
        <v>980.25278749999995</v>
      </c>
      <c r="M9" s="38">
        <v>840</v>
      </c>
      <c r="N9" s="176">
        <v>0.78996725000000001</v>
      </c>
      <c r="O9" s="176">
        <v>0.86377400878238331</v>
      </c>
      <c r="P9" s="516">
        <v>1.0460860000000001E-2</v>
      </c>
    </row>
    <row r="10" spans="1:16" outlineLevel="2">
      <c r="A10" s="600">
        <v>2</v>
      </c>
      <c r="B10" s="601" t="s">
        <v>300</v>
      </c>
      <c r="C10" s="601"/>
      <c r="D10" s="703"/>
      <c r="E10" s="705" t="s">
        <v>399</v>
      </c>
      <c r="F10" s="706">
        <v>0</v>
      </c>
      <c r="G10" s="707">
        <v>20000</v>
      </c>
      <c r="H10" s="707">
        <v>0</v>
      </c>
      <c r="I10" s="707">
        <v>0</v>
      </c>
      <c r="J10" s="707">
        <v>0</v>
      </c>
      <c r="K10" s="707">
        <v>20000</v>
      </c>
      <c r="L10" s="707">
        <v>980.25278749999995</v>
      </c>
      <c r="M10" s="707">
        <v>840</v>
      </c>
      <c r="N10" s="708">
        <v>0.78996725000000001</v>
      </c>
      <c r="O10" s="708">
        <v>0.86377400878238331</v>
      </c>
      <c r="P10" s="709"/>
    </row>
    <row r="11" spans="1:16" outlineLevel="2">
      <c r="A11" s="600">
        <v>3</v>
      </c>
      <c r="B11" s="601" t="s">
        <v>298</v>
      </c>
      <c r="C11" s="601"/>
      <c r="D11" s="703"/>
      <c r="E11" s="705"/>
      <c r="F11" s="698"/>
      <c r="G11" s="710"/>
      <c r="H11" s="710"/>
      <c r="I11" s="710"/>
      <c r="J11" s="710"/>
      <c r="K11" s="710"/>
      <c r="L11" s="710"/>
      <c r="M11" s="710"/>
      <c r="N11" s="709"/>
      <c r="O11" s="709"/>
      <c r="P11" s="709"/>
    </row>
    <row r="12" spans="1:16" outlineLevel="1">
      <c r="A12" s="600"/>
      <c r="B12" s="601"/>
      <c r="C12" s="702" t="s">
        <v>285</v>
      </c>
      <c r="D12" s="703"/>
      <c r="E12" s="705"/>
      <c r="F12" s="698"/>
      <c r="G12" s="711"/>
      <c r="H12" s="711"/>
      <c r="I12" s="711"/>
      <c r="J12" s="711"/>
      <c r="K12" s="711"/>
      <c r="L12" s="711"/>
      <c r="M12" s="711"/>
      <c r="N12" s="712"/>
      <c r="O12" s="712"/>
      <c r="P12" s="709"/>
    </row>
    <row r="13" spans="1:16" outlineLevel="1">
      <c r="A13" s="600"/>
      <c r="B13" s="601"/>
      <c r="C13" s="601" t="s">
        <v>487</v>
      </c>
      <c r="D13" s="703">
        <v>15</v>
      </c>
      <c r="E13" s="704" t="s">
        <v>285</v>
      </c>
      <c r="F13" s="703">
        <v>5000</v>
      </c>
      <c r="G13" s="38">
        <v>10000</v>
      </c>
      <c r="H13" s="38">
        <v>0</v>
      </c>
      <c r="I13" s="38">
        <v>0</v>
      </c>
      <c r="J13" s="38">
        <v>0</v>
      </c>
      <c r="K13" s="38">
        <v>15000</v>
      </c>
      <c r="L13" s="38">
        <v>8197.7268332999993</v>
      </c>
      <c r="M13" s="38">
        <v>8071.65</v>
      </c>
      <c r="N13" s="176">
        <v>7.5908799399999998</v>
      </c>
      <c r="O13" s="176">
        <v>8.3000969976051469</v>
      </c>
      <c r="P13" s="516">
        <v>0.24960648999999999</v>
      </c>
    </row>
    <row r="14" spans="1:16" outlineLevel="2">
      <c r="A14" s="600">
        <v>4</v>
      </c>
      <c r="B14" s="601" t="s">
        <v>287</v>
      </c>
      <c r="C14" s="601" t="s">
        <v>488</v>
      </c>
      <c r="D14" s="703"/>
      <c r="E14" s="704"/>
      <c r="F14" s="703">
        <v>0</v>
      </c>
      <c r="G14" s="38">
        <v>20000</v>
      </c>
      <c r="H14" s="38">
        <v>0</v>
      </c>
      <c r="I14" s="38">
        <v>0</v>
      </c>
      <c r="J14" s="38">
        <v>0</v>
      </c>
      <c r="K14" s="38">
        <v>20000</v>
      </c>
      <c r="L14" s="38">
        <v>3092.8704582</v>
      </c>
      <c r="M14" s="38">
        <v>3476.4</v>
      </c>
      <c r="N14" s="176">
        <v>3.2693358899999998</v>
      </c>
      <c r="O14" s="176">
        <v>3.5747904334893779</v>
      </c>
      <c r="P14" s="516">
        <v>7.9348290000000002E-2</v>
      </c>
    </row>
    <row r="15" spans="1:16" outlineLevel="2">
      <c r="A15" s="600">
        <v>5</v>
      </c>
      <c r="B15" s="601" t="s">
        <v>286</v>
      </c>
      <c r="C15" s="601" t="s">
        <v>489</v>
      </c>
      <c r="D15" s="703">
        <v>15</v>
      </c>
      <c r="E15" s="704" t="s">
        <v>285</v>
      </c>
      <c r="F15" s="703">
        <v>0</v>
      </c>
      <c r="G15" s="38">
        <v>100000</v>
      </c>
      <c r="H15" s="38">
        <v>0</v>
      </c>
      <c r="I15" s="38">
        <v>0</v>
      </c>
      <c r="J15" s="38">
        <v>0</v>
      </c>
      <c r="K15" s="38">
        <v>100000</v>
      </c>
      <c r="L15" s="38">
        <v>3730.9722620000002</v>
      </c>
      <c r="M15" s="38">
        <v>4191</v>
      </c>
      <c r="N15" s="176">
        <v>3.9413723100000002</v>
      </c>
      <c r="O15" s="176">
        <v>4.3096153223892477</v>
      </c>
      <c r="P15" s="516">
        <v>3.1484860000000003E-2</v>
      </c>
    </row>
    <row r="16" spans="1:16" outlineLevel="1">
      <c r="A16" s="600"/>
      <c r="B16" s="601"/>
      <c r="C16" s="601"/>
      <c r="D16" s="703"/>
      <c r="E16" s="713" t="s">
        <v>396</v>
      </c>
      <c r="F16" s="706">
        <v>5000</v>
      </c>
      <c r="G16" s="707">
        <v>130000</v>
      </c>
      <c r="H16" s="707">
        <v>0</v>
      </c>
      <c r="I16" s="707">
        <v>0</v>
      </c>
      <c r="J16" s="707">
        <v>0</v>
      </c>
      <c r="K16" s="707">
        <v>135000</v>
      </c>
      <c r="L16" s="707">
        <v>15021.569553499998</v>
      </c>
      <c r="M16" s="707">
        <v>15739.05</v>
      </c>
      <c r="N16" s="708">
        <v>14.80158814</v>
      </c>
      <c r="O16" s="708">
        <v>16.184502753483773</v>
      </c>
      <c r="P16" s="709"/>
    </row>
    <row r="17" spans="1:17" outlineLevel="1">
      <c r="A17" s="600"/>
      <c r="B17" s="601"/>
      <c r="C17" s="601"/>
      <c r="D17" s="703"/>
      <c r="E17" s="713"/>
      <c r="F17" s="698"/>
      <c r="G17" s="710"/>
      <c r="H17" s="710"/>
      <c r="I17" s="710"/>
      <c r="J17" s="710"/>
      <c r="K17" s="710"/>
      <c r="L17" s="710"/>
      <c r="M17" s="710"/>
      <c r="N17" s="709"/>
      <c r="O17" s="709"/>
      <c r="P17" s="709"/>
    </row>
    <row r="18" spans="1:17" outlineLevel="2">
      <c r="A18" s="600">
        <v>6</v>
      </c>
      <c r="B18" s="601" t="s">
        <v>397</v>
      </c>
      <c r="C18" s="702" t="s">
        <v>294</v>
      </c>
      <c r="D18" s="703"/>
      <c r="E18" s="713"/>
      <c r="F18" s="698"/>
      <c r="G18" s="711"/>
      <c r="H18" s="711"/>
      <c r="I18" s="711"/>
      <c r="J18" s="711"/>
      <c r="K18" s="711"/>
      <c r="L18" s="711"/>
      <c r="M18" s="711"/>
      <c r="N18" s="712"/>
      <c r="O18" s="712"/>
      <c r="P18" s="709"/>
    </row>
    <row r="19" spans="1:17" outlineLevel="1">
      <c r="A19" s="600"/>
      <c r="B19" s="601"/>
      <c r="C19" s="601" t="s">
        <v>490</v>
      </c>
      <c r="D19" s="703">
        <v>18</v>
      </c>
      <c r="E19" s="601" t="s">
        <v>294</v>
      </c>
      <c r="F19" s="703">
        <v>0</v>
      </c>
      <c r="G19" s="38">
        <v>90000</v>
      </c>
      <c r="H19" s="38">
        <v>0</v>
      </c>
      <c r="I19" s="38">
        <v>0</v>
      </c>
      <c r="J19" s="38">
        <v>0</v>
      </c>
      <c r="K19" s="38">
        <v>90000</v>
      </c>
      <c r="L19" s="38">
        <v>7672.0650779999996</v>
      </c>
      <c r="M19" s="38">
        <v>6945.3</v>
      </c>
      <c r="N19" s="176">
        <v>6.5316185000000004</v>
      </c>
      <c r="O19" s="176">
        <v>7.1418685990431987</v>
      </c>
      <c r="P19" s="516">
        <v>7.8901159999999998E-2</v>
      </c>
    </row>
    <row r="20" spans="1:17" outlineLevel="1">
      <c r="A20" s="600"/>
      <c r="B20" s="601"/>
      <c r="C20" s="601" t="s">
        <v>491</v>
      </c>
      <c r="D20" s="703">
        <v>18</v>
      </c>
      <c r="E20" s="601" t="s">
        <v>294</v>
      </c>
      <c r="F20" s="703">
        <v>10000</v>
      </c>
      <c r="G20" s="38">
        <v>30000</v>
      </c>
      <c r="H20" s="38">
        <v>0</v>
      </c>
      <c r="I20" s="38">
        <v>0</v>
      </c>
      <c r="J20" s="38">
        <v>0</v>
      </c>
      <c r="K20" s="38">
        <v>40000</v>
      </c>
      <c r="L20" s="38">
        <v>3899.2737459999998</v>
      </c>
      <c r="M20" s="38">
        <v>4181.6000000000004</v>
      </c>
      <c r="N20" s="176">
        <v>3.9325321999999998</v>
      </c>
      <c r="O20" s="176">
        <v>4.2999492799100167</v>
      </c>
      <c r="P20" s="516">
        <v>3.6136920000000003E-2</v>
      </c>
    </row>
    <row r="21" spans="1:17" outlineLevel="2">
      <c r="A21" s="600">
        <v>7</v>
      </c>
      <c r="B21" s="601" t="s">
        <v>284</v>
      </c>
      <c r="C21" s="601"/>
      <c r="D21" s="703"/>
      <c r="E21" s="714" t="s">
        <v>404</v>
      </c>
      <c r="F21" s="706">
        <v>10000</v>
      </c>
      <c r="G21" s="707">
        <v>120000</v>
      </c>
      <c r="H21" s="707">
        <v>0</v>
      </c>
      <c r="I21" s="707">
        <v>0</v>
      </c>
      <c r="J21" s="707">
        <v>0</v>
      </c>
      <c r="K21" s="707">
        <v>130000</v>
      </c>
      <c r="L21" s="707">
        <v>11571.338823999999</v>
      </c>
      <c r="M21" s="707">
        <v>11126.900000000001</v>
      </c>
      <c r="N21" s="708">
        <v>10.464150700000001</v>
      </c>
      <c r="O21" s="708">
        <v>11.441817878953216</v>
      </c>
      <c r="P21" s="709"/>
      <c r="Q21" s="602"/>
    </row>
    <row r="22" spans="1:17" outlineLevel="2">
      <c r="A22" s="600">
        <v>8</v>
      </c>
      <c r="B22" s="601" t="s">
        <v>281</v>
      </c>
      <c r="C22" s="601"/>
      <c r="D22" s="703"/>
      <c r="E22" s="714"/>
      <c r="F22" s="698"/>
      <c r="G22" s="710"/>
      <c r="H22" s="710"/>
      <c r="I22" s="710"/>
      <c r="J22" s="710"/>
      <c r="K22" s="710"/>
      <c r="L22" s="710"/>
      <c r="M22" s="710"/>
      <c r="N22" s="709"/>
      <c r="O22" s="709"/>
      <c r="P22" s="709"/>
    </row>
    <row r="23" spans="1:17" outlineLevel="2">
      <c r="A23" s="600">
        <v>9</v>
      </c>
      <c r="B23" s="601" t="s">
        <v>283</v>
      </c>
      <c r="C23" s="702" t="s">
        <v>277</v>
      </c>
      <c r="D23" s="703"/>
      <c r="E23" s="714"/>
      <c r="F23" s="698"/>
      <c r="G23" s="711"/>
      <c r="H23" s="711"/>
      <c r="I23" s="711"/>
      <c r="J23" s="711"/>
      <c r="K23" s="711"/>
      <c r="L23" s="711"/>
      <c r="M23" s="711"/>
      <c r="N23" s="712"/>
      <c r="O23" s="712"/>
      <c r="P23" s="709"/>
    </row>
    <row r="24" spans="1:17" outlineLevel="2">
      <c r="A24" s="600">
        <v>10</v>
      </c>
      <c r="B24" s="601" t="s">
        <v>282</v>
      </c>
      <c r="C24" s="601" t="s">
        <v>492</v>
      </c>
      <c r="D24" s="703">
        <v>19</v>
      </c>
      <c r="E24" s="601" t="s">
        <v>277</v>
      </c>
      <c r="F24" s="703">
        <v>16500</v>
      </c>
      <c r="G24" s="38">
        <v>7500</v>
      </c>
      <c r="H24" s="38">
        <v>0</v>
      </c>
      <c r="I24" s="38">
        <v>0</v>
      </c>
      <c r="J24" s="38">
        <v>0</v>
      </c>
      <c r="K24" s="38">
        <v>24000</v>
      </c>
      <c r="L24" s="38">
        <v>9408.7117885999996</v>
      </c>
      <c r="M24" s="38">
        <v>8429.76</v>
      </c>
      <c r="N24" s="176">
        <v>7.92765991</v>
      </c>
      <c r="O24" s="176">
        <v>8.6683423669921229</v>
      </c>
      <c r="P24" s="516">
        <v>0.31027595000000002</v>
      </c>
    </row>
    <row r="25" spans="1:17" outlineLevel="1">
      <c r="A25" s="600"/>
      <c r="B25" s="601"/>
      <c r="C25" s="601" t="s">
        <v>493</v>
      </c>
      <c r="D25" s="703">
        <v>20</v>
      </c>
      <c r="E25" s="601" t="s">
        <v>277</v>
      </c>
      <c r="F25" s="703">
        <v>12500</v>
      </c>
      <c r="G25" s="38">
        <v>30000</v>
      </c>
      <c r="H25" s="38">
        <v>0</v>
      </c>
      <c r="I25" s="38">
        <v>0</v>
      </c>
      <c r="J25" s="38">
        <v>0</v>
      </c>
      <c r="K25" s="38">
        <v>42500</v>
      </c>
      <c r="L25" s="38">
        <v>5176.9250000000002</v>
      </c>
      <c r="M25" s="38">
        <v>5445.1</v>
      </c>
      <c r="N25" s="176">
        <v>5.1207746099999998</v>
      </c>
      <c r="O25" s="176">
        <v>5.5992093514535179</v>
      </c>
      <c r="P25" s="516">
        <v>2.761605E-2</v>
      </c>
    </row>
    <row r="26" spans="1:17" outlineLevel="1">
      <c r="A26" s="600"/>
      <c r="B26" s="601"/>
      <c r="C26" s="601"/>
      <c r="D26" s="703"/>
      <c r="E26" s="714" t="s">
        <v>402</v>
      </c>
      <c r="F26" s="706">
        <v>29000</v>
      </c>
      <c r="G26" s="707">
        <v>37500</v>
      </c>
      <c r="H26" s="707">
        <v>0</v>
      </c>
      <c r="I26" s="707">
        <v>0</v>
      </c>
      <c r="J26" s="707">
        <v>0</v>
      </c>
      <c r="K26" s="707">
        <v>66500</v>
      </c>
      <c r="L26" s="707">
        <v>14585.636788600001</v>
      </c>
      <c r="M26" s="707">
        <v>13874.86</v>
      </c>
      <c r="N26" s="708">
        <v>13.048434520000001</v>
      </c>
      <c r="O26" s="708">
        <v>14.267551718445642</v>
      </c>
      <c r="P26" s="709"/>
    </row>
    <row r="27" spans="1:17" outlineLevel="2">
      <c r="A27" s="600">
        <v>11</v>
      </c>
      <c r="B27" s="601" t="s">
        <v>289</v>
      </c>
      <c r="C27" s="601"/>
      <c r="D27" s="703"/>
      <c r="E27" s="714"/>
      <c r="F27" s="698"/>
      <c r="G27" s="710"/>
      <c r="H27" s="710"/>
      <c r="I27" s="710"/>
      <c r="J27" s="710"/>
      <c r="K27" s="710"/>
      <c r="L27" s="710"/>
      <c r="M27" s="710"/>
      <c r="N27" s="709"/>
      <c r="O27" s="709"/>
      <c r="P27" s="709"/>
    </row>
    <row r="28" spans="1:17" outlineLevel="1">
      <c r="A28" s="600"/>
      <c r="B28" s="601"/>
      <c r="C28" s="702" t="s">
        <v>297</v>
      </c>
      <c r="D28" s="703"/>
      <c r="E28" s="714"/>
      <c r="F28" s="698"/>
      <c r="G28" s="711"/>
      <c r="H28" s="711"/>
      <c r="I28" s="711"/>
      <c r="J28" s="711"/>
      <c r="K28" s="711"/>
      <c r="L28" s="711"/>
      <c r="M28" s="711"/>
      <c r="N28" s="712"/>
      <c r="O28" s="712"/>
      <c r="P28" s="709"/>
    </row>
    <row r="29" spans="1:17" outlineLevel="1">
      <c r="A29" s="600"/>
      <c r="B29" s="601"/>
      <c r="C29" s="601" t="s">
        <v>494</v>
      </c>
      <c r="D29" s="703">
        <v>22</v>
      </c>
      <c r="E29" s="601" t="s">
        <v>297</v>
      </c>
      <c r="F29" s="703">
        <v>0</v>
      </c>
      <c r="G29" s="38">
        <v>5000</v>
      </c>
      <c r="H29" s="38">
        <v>0</v>
      </c>
      <c r="I29" s="38">
        <v>0</v>
      </c>
      <c r="J29" s="38">
        <v>0</v>
      </c>
      <c r="K29" s="38">
        <v>5000</v>
      </c>
      <c r="L29" s="38">
        <v>4736.2</v>
      </c>
      <c r="M29" s="38">
        <v>4736.2</v>
      </c>
      <c r="N29" s="176">
        <v>4.4540986800000004</v>
      </c>
      <c r="O29" s="176">
        <v>4.8702457861846709</v>
      </c>
      <c r="P29" s="516">
        <v>0.60256997000000001</v>
      </c>
    </row>
    <row r="30" spans="1:17" outlineLevel="2">
      <c r="A30" s="600">
        <v>12</v>
      </c>
      <c r="B30" s="601" t="s">
        <v>278</v>
      </c>
      <c r="C30" s="601" t="s">
        <v>495</v>
      </c>
      <c r="D30" s="703">
        <v>22</v>
      </c>
      <c r="E30" s="601" t="s">
        <v>297</v>
      </c>
      <c r="F30" s="703">
        <v>0</v>
      </c>
      <c r="G30" s="38">
        <v>5400</v>
      </c>
      <c r="H30" s="38">
        <v>0</v>
      </c>
      <c r="I30" s="38">
        <v>0</v>
      </c>
      <c r="J30" s="38">
        <v>0</v>
      </c>
      <c r="K30" s="38">
        <v>5400</v>
      </c>
      <c r="L30" s="38">
        <v>2375.0151700000001</v>
      </c>
      <c r="M30" s="38">
        <v>2223.5039999999999</v>
      </c>
      <c r="N30" s="176">
        <v>2.0910658799999999</v>
      </c>
      <c r="O30" s="176">
        <v>2.2864344805043624</v>
      </c>
      <c r="P30" s="516">
        <v>0.27017108000000001</v>
      </c>
    </row>
    <row r="31" spans="1:17" outlineLevel="2">
      <c r="A31" s="600">
        <v>13</v>
      </c>
      <c r="B31" s="601" t="s">
        <v>279</v>
      </c>
      <c r="C31" s="601" t="s">
        <v>496</v>
      </c>
      <c r="D31" s="703">
        <v>22</v>
      </c>
      <c r="E31" s="601" t="s">
        <v>297</v>
      </c>
      <c r="F31" s="703">
        <v>0</v>
      </c>
      <c r="G31" s="38">
        <v>12500</v>
      </c>
      <c r="H31" s="38">
        <v>0</v>
      </c>
      <c r="I31" s="38">
        <v>0</v>
      </c>
      <c r="J31" s="38">
        <v>0</v>
      </c>
      <c r="K31" s="38">
        <v>12500</v>
      </c>
      <c r="L31" s="38">
        <v>3033.2497247000001</v>
      </c>
      <c r="M31" s="38">
        <v>3155.5</v>
      </c>
      <c r="N31" s="176">
        <v>2.96754959</v>
      </c>
      <c r="O31" s="176">
        <v>3.2448081960866793</v>
      </c>
      <c r="P31" s="516">
        <v>0.22097338999999999</v>
      </c>
    </row>
    <row r="32" spans="1:17" outlineLevel="1">
      <c r="A32" s="600"/>
      <c r="B32" s="601"/>
      <c r="C32" s="601"/>
      <c r="D32" s="703"/>
      <c r="E32" s="714" t="s">
        <v>395</v>
      </c>
      <c r="F32" s="706">
        <v>0</v>
      </c>
      <c r="G32" s="707">
        <v>22900</v>
      </c>
      <c r="H32" s="707">
        <v>0</v>
      </c>
      <c r="I32" s="707">
        <v>0</v>
      </c>
      <c r="J32" s="707">
        <v>0</v>
      </c>
      <c r="K32" s="707">
        <v>22900</v>
      </c>
      <c r="L32" s="707">
        <v>10144.464894699999</v>
      </c>
      <c r="M32" s="707">
        <v>10115.204</v>
      </c>
      <c r="N32" s="708">
        <v>9.5127141500000008</v>
      </c>
      <c r="O32" s="708">
        <v>10.401488462775713</v>
      </c>
      <c r="P32" s="709"/>
    </row>
    <row r="33" spans="1:16" outlineLevel="1">
      <c r="A33" s="600"/>
      <c r="B33" s="601"/>
      <c r="C33" s="601"/>
      <c r="D33" s="703"/>
      <c r="E33" s="714"/>
      <c r="F33" s="698"/>
      <c r="G33" s="710"/>
      <c r="H33" s="710"/>
      <c r="I33" s="710"/>
      <c r="J33" s="710"/>
      <c r="K33" s="710"/>
      <c r="L33" s="710"/>
      <c r="M33" s="710"/>
      <c r="N33" s="709"/>
      <c r="O33" s="709"/>
      <c r="P33" s="709"/>
    </row>
    <row r="34" spans="1:16" outlineLevel="2">
      <c r="A34" s="600">
        <v>14</v>
      </c>
      <c r="B34" s="601" t="s">
        <v>292</v>
      </c>
      <c r="C34" s="702" t="s">
        <v>280</v>
      </c>
      <c r="D34" s="703"/>
      <c r="E34" s="714"/>
      <c r="F34" s="698"/>
      <c r="G34" s="711"/>
      <c r="H34" s="711"/>
      <c r="I34" s="711"/>
      <c r="J34" s="711"/>
      <c r="K34" s="711"/>
      <c r="L34" s="711"/>
      <c r="M34" s="711"/>
      <c r="N34" s="712"/>
      <c r="O34" s="712"/>
      <c r="P34" s="709"/>
    </row>
    <row r="35" spans="1:16" outlineLevel="2">
      <c r="A35" s="600">
        <v>15</v>
      </c>
      <c r="B35" s="601" t="s">
        <v>291</v>
      </c>
      <c r="C35" s="601" t="s">
        <v>497</v>
      </c>
      <c r="D35" s="703">
        <v>27</v>
      </c>
      <c r="E35" s="601" t="s">
        <v>280</v>
      </c>
      <c r="F35" s="703">
        <v>40000</v>
      </c>
      <c r="G35" s="38">
        <v>30000</v>
      </c>
      <c r="H35" s="38">
        <v>0</v>
      </c>
      <c r="I35" s="38">
        <v>0</v>
      </c>
      <c r="J35" s="38">
        <v>0</v>
      </c>
      <c r="K35" s="38">
        <v>70000</v>
      </c>
      <c r="L35" s="38">
        <v>7463.4</v>
      </c>
      <c r="M35" s="38">
        <v>7463.4</v>
      </c>
      <c r="N35" s="176">
        <v>7.0188590099999999</v>
      </c>
      <c r="O35" s="176">
        <v>7.6746320680314746</v>
      </c>
      <c r="P35" s="516">
        <v>5.866354E-2</v>
      </c>
    </row>
    <row r="36" spans="1:16" outlineLevel="2">
      <c r="A36" s="600">
        <v>16</v>
      </c>
      <c r="B36" s="601" t="s">
        <v>293</v>
      </c>
      <c r="C36" s="601" t="s">
        <v>498</v>
      </c>
      <c r="D36" s="703">
        <v>27</v>
      </c>
      <c r="E36" s="601" t="s">
        <v>280</v>
      </c>
      <c r="F36" s="703">
        <v>0</v>
      </c>
      <c r="G36" s="38">
        <v>50000</v>
      </c>
      <c r="H36" s="38">
        <v>0</v>
      </c>
      <c r="I36" s="38">
        <v>0</v>
      </c>
      <c r="J36" s="38">
        <v>0</v>
      </c>
      <c r="K36" s="38">
        <v>50000</v>
      </c>
      <c r="L36" s="38">
        <v>3474.4997910000002</v>
      </c>
      <c r="M36" s="38">
        <v>3474.5</v>
      </c>
      <c r="N36" s="176">
        <v>3.2675490599999999</v>
      </c>
      <c r="O36" s="176">
        <v>3.572836658945703</v>
      </c>
      <c r="P36" s="516">
        <v>2.6772230000000001E-2</v>
      </c>
    </row>
    <row r="37" spans="1:16" outlineLevel="2">
      <c r="A37" s="600">
        <v>17</v>
      </c>
      <c r="B37" s="601" t="s">
        <v>410</v>
      </c>
      <c r="C37" s="601" t="s">
        <v>499</v>
      </c>
      <c r="D37" s="703">
        <v>27</v>
      </c>
      <c r="E37" s="601" t="s">
        <v>280</v>
      </c>
      <c r="F37" s="703">
        <v>85000</v>
      </c>
      <c r="G37" s="38">
        <v>40000</v>
      </c>
      <c r="H37" s="38">
        <v>0</v>
      </c>
      <c r="I37" s="38">
        <v>0</v>
      </c>
      <c r="J37" s="38">
        <v>0</v>
      </c>
      <c r="K37" s="38">
        <v>125000</v>
      </c>
      <c r="L37" s="38">
        <v>7031.80339</v>
      </c>
      <c r="M37" s="38">
        <v>6377.5</v>
      </c>
      <c r="N37" s="176">
        <v>5.9976382600000004</v>
      </c>
      <c r="O37" s="176">
        <v>6.557998501201963</v>
      </c>
      <c r="P37" s="516">
        <v>6.8273539999999994E-2</v>
      </c>
    </row>
    <row r="38" spans="1:16" outlineLevel="1">
      <c r="A38" s="600"/>
      <c r="B38" s="601"/>
      <c r="C38" s="601" t="s">
        <v>500</v>
      </c>
      <c r="D38" s="703">
        <v>27</v>
      </c>
      <c r="E38" s="601" t="s">
        <v>280</v>
      </c>
      <c r="F38" s="703">
        <v>12000</v>
      </c>
      <c r="G38" s="38">
        <v>17000</v>
      </c>
      <c r="H38" s="38">
        <v>0</v>
      </c>
      <c r="I38" s="38">
        <v>0</v>
      </c>
      <c r="J38" s="38">
        <v>0</v>
      </c>
      <c r="K38" s="38">
        <v>29000</v>
      </c>
      <c r="L38" s="38">
        <v>8974.1118975000009</v>
      </c>
      <c r="M38" s="38">
        <v>9155.2999999999993</v>
      </c>
      <c r="N38" s="176">
        <v>8.6099847100000009</v>
      </c>
      <c r="O38" s="176">
        <v>9.4144168840539919</v>
      </c>
      <c r="P38" s="516">
        <v>0.17709548999999999</v>
      </c>
    </row>
    <row r="39" spans="1:16" outlineLevel="1">
      <c r="A39" s="600"/>
      <c r="B39" s="601"/>
      <c r="C39" s="601"/>
      <c r="D39" s="703"/>
      <c r="E39" s="714" t="s">
        <v>400</v>
      </c>
      <c r="F39" s="706">
        <v>137000</v>
      </c>
      <c r="G39" s="707">
        <v>137000</v>
      </c>
      <c r="H39" s="707">
        <v>0</v>
      </c>
      <c r="I39" s="707">
        <v>0</v>
      </c>
      <c r="J39" s="707">
        <v>0</v>
      </c>
      <c r="K39" s="707">
        <v>274000</v>
      </c>
      <c r="L39" s="707">
        <v>26943.815078500003</v>
      </c>
      <c r="M39" s="707">
        <v>26470.7</v>
      </c>
      <c r="N39" s="708">
        <v>24.894031040000002</v>
      </c>
      <c r="O39" s="708">
        <v>27.219884112233132</v>
      </c>
      <c r="P39" s="709"/>
    </row>
    <row r="40" spans="1:16" outlineLevel="2">
      <c r="A40" s="600">
        <v>18</v>
      </c>
      <c r="B40" s="601" t="s">
        <v>296</v>
      </c>
      <c r="C40" s="601"/>
      <c r="D40" s="703"/>
      <c r="E40" s="714"/>
      <c r="F40" s="698"/>
      <c r="G40" s="710"/>
      <c r="H40" s="710"/>
      <c r="I40" s="710"/>
      <c r="J40" s="710"/>
      <c r="K40" s="710"/>
      <c r="L40" s="710"/>
      <c r="M40" s="710"/>
      <c r="N40" s="709"/>
      <c r="O40" s="709"/>
      <c r="P40" s="709"/>
    </row>
    <row r="41" spans="1:16" outlineLevel="2">
      <c r="A41" s="600">
        <v>19</v>
      </c>
      <c r="B41" s="601" t="s">
        <v>295</v>
      </c>
      <c r="C41" s="702" t="s">
        <v>290</v>
      </c>
      <c r="D41" s="703"/>
      <c r="E41" s="714"/>
      <c r="F41" s="698"/>
      <c r="G41" s="711"/>
      <c r="H41" s="711"/>
      <c r="I41" s="711"/>
      <c r="J41" s="711"/>
      <c r="K41" s="711"/>
      <c r="L41" s="711"/>
      <c r="M41" s="711"/>
      <c r="N41" s="712"/>
      <c r="O41" s="712"/>
      <c r="P41" s="709"/>
    </row>
    <row r="42" spans="1:16" outlineLevel="1">
      <c r="A42" s="600"/>
      <c r="B42" s="601"/>
      <c r="C42" s="601" t="s">
        <v>501</v>
      </c>
      <c r="D42" s="703">
        <v>28</v>
      </c>
      <c r="E42" s="601" t="s">
        <v>290</v>
      </c>
      <c r="F42" s="703">
        <v>0</v>
      </c>
      <c r="G42" s="38">
        <v>3350</v>
      </c>
      <c r="H42" s="38">
        <v>0</v>
      </c>
      <c r="I42" s="38">
        <v>0</v>
      </c>
      <c r="J42" s="38">
        <v>0</v>
      </c>
      <c r="K42" s="38">
        <v>3350</v>
      </c>
      <c r="L42" s="38">
        <v>2368.8806249999998</v>
      </c>
      <c r="M42" s="38">
        <v>2930.5129999999999</v>
      </c>
      <c r="N42" s="176">
        <v>2.7559634499999999</v>
      </c>
      <c r="O42" s="176">
        <v>3.0134535259510575</v>
      </c>
      <c r="P42" s="516">
        <v>0.97079285999999998</v>
      </c>
    </row>
    <row r="43" spans="1:16" outlineLevel="1">
      <c r="A43" s="600"/>
      <c r="B43" s="601"/>
      <c r="C43" s="715" t="s">
        <v>502</v>
      </c>
      <c r="D43" s="703"/>
      <c r="E43" s="601"/>
      <c r="F43" s="703">
        <v>0</v>
      </c>
      <c r="G43" s="38">
        <v>5000</v>
      </c>
      <c r="H43" s="38">
        <v>0</v>
      </c>
      <c r="I43" s="38">
        <v>0</v>
      </c>
      <c r="J43" s="38">
        <v>0</v>
      </c>
      <c r="K43" s="38">
        <v>5000</v>
      </c>
      <c r="L43" s="38">
        <v>1201.1498750000001</v>
      </c>
      <c r="M43" s="38">
        <v>1212.1500000000001</v>
      </c>
      <c r="N43" s="176">
        <v>1.13995095</v>
      </c>
      <c r="O43" s="176">
        <v>1.2464567437447214</v>
      </c>
      <c r="P43" s="516">
        <v>3.8061999999999999E-2</v>
      </c>
    </row>
    <row r="44" spans="1:16">
      <c r="A44" s="600"/>
      <c r="B44" s="601"/>
      <c r="C44" s="601" t="s">
        <v>503</v>
      </c>
      <c r="D44" s="703">
        <v>28</v>
      </c>
      <c r="E44" s="601" t="s">
        <v>290</v>
      </c>
      <c r="F44" s="703">
        <v>0</v>
      </c>
      <c r="G44" s="38">
        <v>4300</v>
      </c>
      <c r="H44" s="38">
        <v>0</v>
      </c>
      <c r="I44" s="38">
        <v>0</v>
      </c>
      <c r="J44" s="38">
        <v>0</v>
      </c>
      <c r="K44" s="38">
        <v>4300</v>
      </c>
      <c r="L44" s="38">
        <v>3045.5970391999999</v>
      </c>
      <c r="M44" s="38">
        <v>2847.2449999999999</v>
      </c>
      <c r="N44" s="176">
        <v>2.6776551199999998</v>
      </c>
      <c r="O44" s="176">
        <v>2.9278288424233296</v>
      </c>
      <c r="P44" s="516">
        <v>0.29083107000000002</v>
      </c>
    </row>
    <row r="45" spans="1:16">
      <c r="B45" s="601"/>
      <c r="C45" s="601" t="s">
        <v>504</v>
      </c>
      <c r="D45" s="703">
        <v>28</v>
      </c>
      <c r="E45" s="601" t="s">
        <v>290</v>
      </c>
      <c r="F45" s="703">
        <v>0</v>
      </c>
      <c r="G45" s="38">
        <v>10000</v>
      </c>
      <c r="H45" s="38">
        <v>3830</v>
      </c>
      <c r="I45" s="38">
        <v>1000</v>
      </c>
      <c r="J45" s="38">
        <v>0</v>
      </c>
      <c r="K45" s="38">
        <v>14830</v>
      </c>
      <c r="L45" s="38">
        <v>3647.91716</v>
      </c>
      <c r="M45" s="38">
        <v>6284.7070000000003</v>
      </c>
      <c r="N45" s="176">
        <v>6.1294280199999998</v>
      </c>
      <c r="O45" s="176">
        <v>6.7021014049359326</v>
      </c>
      <c r="P45" s="516">
        <v>0.75927115000000001</v>
      </c>
    </row>
    <row r="46" spans="1:16">
      <c r="B46" s="601"/>
      <c r="C46" s="702"/>
      <c r="D46" s="703"/>
      <c r="E46" s="714" t="s">
        <v>403</v>
      </c>
      <c r="F46" s="706">
        <v>0</v>
      </c>
      <c r="G46" s="707">
        <v>22650</v>
      </c>
      <c r="H46" s="707">
        <v>3830</v>
      </c>
      <c r="I46" s="707">
        <v>1000</v>
      </c>
      <c r="J46" s="707">
        <v>0</v>
      </c>
      <c r="K46" s="707">
        <v>27480</v>
      </c>
      <c r="L46" s="707">
        <v>10263.5446992</v>
      </c>
      <c r="M46" s="707">
        <v>13274.615000000002</v>
      </c>
      <c r="N46" s="708">
        <v>12.702997539999998</v>
      </c>
      <c r="O46" s="708">
        <v>13.889840517055042</v>
      </c>
      <c r="P46" s="709"/>
    </row>
    <row r="47" spans="1:16">
      <c r="B47" s="601"/>
      <c r="C47" s="702"/>
      <c r="D47" s="703"/>
      <c r="E47" s="714"/>
      <c r="F47" s="698"/>
      <c r="G47" s="711"/>
      <c r="H47" s="711"/>
      <c r="I47" s="711"/>
      <c r="J47" s="711"/>
      <c r="K47" s="711"/>
      <c r="L47" s="711"/>
      <c r="M47" s="711"/>
      <c r="N47" s="712"/>
      <c r="O47" s="712"/>
      <c r="P47" s="709"/>
    </row>
    <row r="48" spans="1:16">
      <c r="C48" s="702" t="s">
        <v>288</v>
      </c>
      <c r="D48" s="703"/>
      <c r="E48" s="714"/>
      <c r="F48" s="698"/>
      <c r="G48" s="711"/>
      <c r="H48" s="711"/>
      <c r="I48" s="711"/>
      <c r="J48" s="711"/>
      <c r="K48" s="711"/>
      <c r="L48" s="711"/>
      <c r="M48" s="711"/>
      <c r="N48" s="712"/>
      <c r="O48" s="712"/>
      <c r="P48" s="709"/>
    </row>
    <row r="49" spans="3:16">
      <c r="C49" s="601" t="s">
        <v>505</v>
      </c>
      <c r="D49" s="703">
        <v>33</v>
      </c>
      <c r="E49" s="601" t="s">
        <v>288</v>
      </c>
      <c r="F49" s="703">
        <v>0</v>
      </c>
      <c r="G49" s="38">
        <v>35000</v>
      </c>
      <c r="H49" s="38">
        <v>0</v>
      </c>
      <c r="I49" s="38">
        <v>0</v>
      </c>
      <c r="J49" s="38">
        <v>0</v>
      </c>
      <c r="K49" s="38">
        <v>35000</v>
      </c>
      <c r="L49" s="38">
        <v>5351.9188274999997</v>
      </c>
      <c r="M49" s="38">
        <v>5573.4</v>
      </c>
      <c r="N49" s="176">
        <v>5.2414326999999998</v>
      </c>
      <c r="O49" s="176">
        <v>5.7311405482711129</v>
      </c>
      <c r="P49" s="516">
        <v>7.2703219999999999E-2</v>
      </c>
    </row>
    <row r="50" spans="3:16">
      <c r="D50" s="703"/>
      <c r="E50" s="714" t="s">
        <v>401</v>
      </c>
      <c r="F50" s="706">
        <v>0</v>
      </c>
      <c r="G50" s="707">
        <v>35000</v>
      </c>
      <c r="H50" s="707">
        <v>0</v>
      </c>
      <c r="I50" s="707">
        <v>0</v>
      </c>
      <c r="J50" s="707">
        <v>0</v>
      </c>
      <c r="K50" s="707">
        <v>35000</v>
      </c>
      <c r="L50" s="707">
        <v>5351.9188274999997</v>
      </c>
      <c r="M50" s="707">
        <v>5573.4</v>
      </c>
      <c r="N50" s="708">
        <v>5.2414326999999998</v>
      </c>
      <c r="O50" s="708">
        <v>5.7311405482711129</v>
      </c>
      <c r="P50" s="709"/>
    </row>
    <row r="51" spans="3:16">
      <c r="D51" s="703"/>
      <c r="E51" s="714"/>
      <c r="F51" s="698"/>
      <c r="G51" s="710"/>
      <c r="H51" s="710"/>
      <c r="I51" s="710"/>
      <c r="J51" s="710"/>
      <c r="K51" s="710"/>
      <c r="L51" s="710"/>
      <c r="M51" s="710"/>
      <c r="N51" s="709"/>
      <c r="O51" s="709"/>
      <c r="P51" s="709"/>
    </row>
    <row r="52" spans="3:16" ht="12.75" thickBot="1">
      <c r="D52" s="703"/>
      <c r="E52" s="714" t="s">
        <v>405</v>
      </c>
      <c r="F52" s="716">
        <v>181000</v>
      </c>
      <c r="G52" s="717">
        <v>525050</v>
      </c>
      <c r="H52" s="717">
        <v>3830</v>
      </c>
      <c r="I52" s="717">
        <v>1000</v>
      </c>
      <c r="J52" s="717">
        <v>0</v>
      </c>
      <c r="K52" s="717">
        <v>710880</v>
      </c>
      <c r="L52" s="717">
        <v>94862.541453500002</v>
      </c>
      <c r="M52" s="717">
        <v>97014.728999999992</v>
      </c>
      <c r="N52" s="718">
        <v>91.45531604</v>
      </c>
      <c r="O52" s="718">
        <v>100</v>
      </c>
      <c r="P52" s="709"/>
    </row>
    <row r="53" spans="3:16" ht="12.75" thickTop="1"/>
    <row r="54" spans="3:16">
      <c r="C54" s="594" t="s">
        <v>518</v>
      </c>
    </row>
    <row r="55" spans="3:16">
      <c r="C55" s="594" t="s">
        <v>520</v>
      </c>
    </row>
    <row r="57" spans="3:16">
      <c r="C57" s="792" t="s">
        <v>506</v>
      </c>
      <c r="F57" s="804" t="s">
        <v>507</v>
      </c>
      <c r="G57" s="789" t="s">
        <v>508</v>
      </c>
      <c r="H57" s="790"/>
      <c r="I57" s="790"/>
      <c r="J57" s="791"/>
      <c r="K57" s="789" t="s">
        <v>477</v>
      </c>
      <c r="L57" s="790"/>
      <c r="M57" s="791"/>
      <c r="N57" s="792" t="s">
        <v>509</v>
      </c>
      <c r="O57" s="802" t="s">
        <v>510</v>
      </c>
    </row>
    <row r="58" spans="3:16" ht="36">
      <c r="C58" s="793"/>
      <c r="F58" s="805"/>
      <c r="G58" s="719" t="s">
        <v>387</v>
      </c>
      <c r="H58" s="720" t="s">
        <v>511</v>
      </c>
      <c r="I58" s="720" t="s">
        <v>512</v>
      </c>
      <c r="J58" s="720" t="s">
        <v>475</v>
      </c>
      <c r="K58" s="720" t="s">
        <v>513</v>
      </c>
      <c r="L58" s="720" t="s">
        <v>276</v>
      </c>
      <c r="M58" s="720" t="s">
        <v>514</v>
      </c>
      <c r="N58" s="793"/>
      <c r="O58" s="803"/>
    </row>
    <row r="59" spans="3:16">
      <c r="C59" s="721"/>
      <c r="F59" s="722"/>
      <c r="G59" s="799" t="s">
        <v>515</v>
      </c>
      <c r="H59" s="800"/>
      <c r="I59" s="800"/>
      <c r="J59" s="800"/>
      <c r="K59" s="800"/>
      <c r="L59" s="800"/>
      <c r="M59" s="801"/>
      <c r="N59" s="723"/>
      <c r="O59" s="724"/>
    </row>
    <row r="60" spans="3:16">
      <c r="C60" s="725" t="s">
        <v>516</v>
      </c>
      <c r="F60" s="402"/>
      <c r="G60" s="726"/>
      <c r="H60" s="727"/>
      <c r="I60" s="727"/>
      <c r="J60" s="727"/>
      <c r="K60" s="727"/>
      <c r="L60" s="727"/>
      <c r="M60" s="727"/>
      <c r="N60" s="728"/>
      <c r="O60" s="728"/>
    </row>
    <row r="61" spans="3:16">
      <c r="C61" s="729">
        <v>42415</v>
      </c>
      <c r="F61" s="730" t="s">
        <v>517</v>
      </c>
      <c r="G61" s="68">
        <v>0</v>
      </c>
      <c r="H61" s="727">
        <v>10000</v>
      </c>
      <c r="I61" s="68"/>
      <c r="J61" s="727">
        <v>10000</v>
      </c>
      <c r="K61" s="68">
        <v>10000</v>
      </c>
      <c r="L61" s="68">
        <v>10106</v>
      </c>
      <c r="M61" s="68">
        <v>106</v>
      </c>
      <c r="N61" s="731">
        <v>0.12484095316920112</v>
      </c>
      <c r="O61" s="731">
        <v>0.14323374340949033</v>
      </c>
    </row>
    <row r="62" spans="3:16">
      <c r="C62" s="729">
        <v>42356</v>
      </c>
      <c r="F62" s="730" t="s">
        <v>517</v>
      </c>
      <c r="G62" s="68">
        <v>0</v>
      </c>
      <c r="H62" s="727">
        <v>60000</v>
      </c>
      <c r="I62" s="68"/>
      <c r="J62" s="727">
        <v>60000</v>
      </c>
      <c r="K62" s="68">
        <v>60518.332000000002</v>
      </c>
      <c r="L62" s="68">
        <v>60450</v>
      </c>
      <c r="M62" s="68">
        <v>-68.332000000002154</v>
      </c>
      <c r="N62" s="731">
        <v>0.7467480327605589</v>
      </c>
      <c r="O62" s="731">
        <v>0.85676625659050965</v>
      </c>
    </row>
    <row r="63" spans="3:16">
      <c r="C63" s="732"/>
      <c r="F63" s="733"/>
      <c r="G63" s="734"/>
      <c r="H63" s="733"/>
      <c r="I63" s="733"/>
      <c r="J63" s="733"/>
      <c r="K63" s="735"/>
      <c r="L63" s="735"/>
      <c r="M63" s="735"/>
      <c r="N63" s="733"/>
      <c r="O63" s="733"/>
    </row>
    <row r="64" spans="3:16">
      <c r="F64" s="733"/>
      <c r="G64" s="736">
        <v>0</v>
      </c>
      <c r="H64" s="736">
        <v>70000</v>
      </c>
      <c r="I64" s="736">
        <v>0</v>
      </c>
      <c r="J64" s="736">
        <v>70000</v>
      </c>
      <c r="K64" s="736">
        <v>70518.331999999995</v>
      </c>
      <c r="L64" s="736">
        <v>70556</v>
      </c>
      <c r="M64" s="736">
        <v>37.667999999997846</v>
      </c>
      <c r="N64" s="737">
        <v>0.87158898592975997</v>
      </c>
      <c r="O64" s="737">
        <v>1</v>
      </c>
    </row>
    <row r="67" spans="3:16">
      <c r="C67" s="594" t="s">
        <v>521</v>
      </c>
    </row>
    <row r="68" spans="3:16">
      <c r="C68" s="594" t="s">
        <v>519</v>
      </c>
    </row>
    <row r="70" spans="3:16">
      <c r="C70" s="792" t="s">
        <v>506</v>
      </c>
      <c r="F70" s="804" t="s">
        <v>507</v>
      </c>
      <c r="G70" s="789" t="s">
        <v>508</v>
      </c>
      <c r="H70" s="790"/>
      <c r="I70" s="790"/>
      <c r="J70" s="791"/>
      <c r="K70" s="789" t="s">
        <v>477</v>
      </c>
      <c r="L70" s="790"/>
      <c r="M70" s="791"/>
      <c r="N70" s="792" t="s">
        <v>509</v>
      </c>
      <c r="O70" s="802" t="s">
        <v>510</v>
      </c>
    </row>
    <row r="71" spans="3:16" ht="36">
      <c r="C71" s="793"/>
      <c r="F71" s="805"/>
      <c r="G71" s="719" t="s">
        <v>387</v>
      </c>
      <c r="H71" s="720" t="s">
        <v>511</v>
      </c>
      <c r="I71" s="720" t="s">
        <v>512</v>
      </c>
      <c r="J71" s="720" t="s">
        <v>475</v>
      </c>
      <c r="K71" s="720" t="s">
        <v>513</v>
      </c>
      <c r="L71" s="720" t="s">
        <v>276</v>
      </c>
      <c r="M71" s="720" t="s">
        <v>514</v>
      </c>
      <c r="N71" s="793"/>
      <c r="O71" s="803"/>
    </row>
    <row r="72" spans="3:16">
      <c r="C72" s="721"/>
      <c r="F72" s="722"/>
      <c r="G72" s="799" t="s">
        <v>515</v>
      </c>
      <c r="H72" s="800"/>
      <c r="I72" s="800"/>
      <c r="J72" s="800"/>
      <c r="K72" s="800"/>
      <c r="L72" s="800"/>
      <c r="M72" s="801"/>
      <c r="N72" s="723"/>
      <c r="O72" s="724"/>
    </row>
    <row r="73" spans="3:16">
      <c r="C73" s="725" t="s">
        <v>516</v>
      </c>
      <c r="F73" s="402"/>
      <c r="G73" s="726"/>
      <c r="H73" s="727"/>
      <c r="I73" s="727"/>
      <c r="J73" s="727"/>
      <c r="K73" s="727"/>
      <c r="L73" s="727"/>
      <c r="M73" s="727"/>
      <c r="N73" s="728"/>
      <c r="O73" s="728"/>
    </row>
    <row r="74" spans="3:16">
      <c r="C74" s="729">
        <v>42415</v>
      </c>
      <c r="F74" s="730" t="s">
        <v>517</v>
      </c>
      <c r="G74" s="68">
        <v>0</v>
      </c>
      <c r="H74" s="727">
        <v>16000</v>
      </c>
      <c r="I74" s="68"/>
      <c r="J74" s="727">
        <v>16000</v>
      </c>
      <c r="K74" s="738">
        <v>16000</v>
      </c>
      <c r="L74" s="738">
        <v>16169.6</v>
      </c>
      <c r="M74" s="68">
        <v>169.60000000000036</v>
      </c>
      <c r="N74" s="731">
        <v>0.19097877567411153</v>
      </c>
      <c r="O74" s="731">
        <v>1</v>
      </c>
    </row>
    <row r="75" spans="3:16">
      <c r="F75" s="733"/>
      <c r="G75" s="734"/>
      <c r="H75" s="733"/>
      <c r="I75" s="733"/>
      <c r="J75" s="733"/>
      <c r="K75" s="739"/>
      <c r="L75" s="739"/>
      <c r="M75" s="739"/>
      <c r="N75" s="733"/>
      <c r="O75" s="733"/>
    </row>
    <row r="76" spans="3:16">
      <c r="F76" s="733"/>
      <c r="G76" s="736">
        <v>0</v>
      </c>
      <c r="H76" s="736">
        <v>16000</v>
      </c>
      <c r="I76" s="736">
        <v>0</v>
      </c>
      <c r="J76" s="736">
        <v>16000</v>
      </c>
      <c r="K76" s="736">
        <v>16000</v>
      </c>
      <c r="L76" s="736">
        <v>16169.6</v>
      </c>
      <c r="M76" s="736">
        <v>169.60000000000036</v>
      </c>
      <c r="N76" s="737">
        <v>0.19097877567411153</v>
      </c>
      <c r="O76" s="737">
        <v>1</v>
      </c>
    </row>
    <row r="79" spans="3:16" ht="12" customHeight="1">
      <c r="C79" s="797" t="s">
        <v>528</v>
      </c>
      <c r="D79" s="798"/>
      <c r="E79" s="798"/>
      <c r="F79" s="798"/>
      <c r="G79" s="798"/>
      <c r="H79" s="798"/>
      <c r="I79" s="798"/>
      <c r="J79" s="798"/>
      <c r="K79" s="798"/>
      <c r="L79" s="798"/>
      <c r="M79" s="798"/>
      <c r="N79" s="798"/>
      <c r="O79" s="798"/>
      <c r="P79" s="798"/>
    </row>
    <row r="80" spans="3:16" ht="12" customHeight="1">
      <c r="C80" s="798"/>
      <c r="D80" s="798"/>
      <c r="E80" s="798"/>
      <c r="F80" s="798"/>
      <c r="G80" s="798"/>
      <c r="H80" s="798"/>
      <c r="I80" s="798"/>
      <c r="J80" s="798"/>
      <c r="K80" s="798"/>
      <c r="L80" s="798"/>
      <c r="M80" s="798"/>
      <c r="N80" s="798"/>
      <c r="O80" s="798"/>
      <c r="P80" s="798"/>
    </row>
    <row r="81" spans="3:16" ht="12" customHeight="1">
      <c r="C81" s="798"/>
      <c r="D81" s="798"/>
      <c r="E81" s="798"/>
      <c r="F81" s="798"/>
      <c r="G81" s="798"/>
      <c r="H81" s="798"/>
      <c r="I81" s="798"/>
      <c r="J81" s="798"/>
      <c r="K81" s="798"/>
      <c r="L81" s="798"/>
      <c r="M81" s="798"/>
      <c r="N81" s="798"/>
      <c r="O81" s="798"/>
      <c r="P81" s="798"/>
    </row>
    <row r="82" spans="3:16" ht="12" customHeight="1">
      <c r="C82" s="740"/>
      <c r="D82" s="740"/>
      <c r="E82" s="740"/>
      <c r="F82" s="740"/>
      <c r="G82" s="740"/>
      <c r="H82" s="740"/>
      <c r="I82" s="740"/>
      <c r="J82" s="741"/>
      <c r="K82" s="741"/>
      <c r="L82" s="121"/>
      <c r="M82" s="121"/>
      <c r="N82" s="742"/>
      <c r="O82" s="742"/>
      <c r="P82" s="741"/>
    </row>
    <row r="83" spans="3:16" ht="12" customHeight="1">
      <c r="C83" s="797" t="s">
        <v>529</v>
      </c>
      <c r="D83" s="798"/>
      <c r="E83" s="798"/>
      <c r="F83" s="798"/>
      <c r="G83" s="798"/>
      <c r="H83" s="798"/>
      <c r="I83" s="798"/>
      <c r="J83" s="798"/>
      <c r="K83" s="798"/>
      <c r="L83" s="798"/>
      <c r="M83" s="798"/>
      <c r="N83" s="798"/>
      <c r="O83" s="798"/>
      <c r="P83" s="798"/>
    </row>
    <row r="84" spans="3:16" ht="9.75" customHeight="1">
      <c r="C84" s="798"/>
      <c r="D84" s="798"/>
      <c r="E84" s="798"/>
      <c r="F84" s="798"/>
      <c r="G84" s="798"/>
      <c r="H84" s="798"/>
      <c r="I84" s="798"/>
      <c r="J84" s="798"/>
      <c r="K84" s="798"/>
      <c r="L84" s="798"/>
      <c r="M84" s="798"/>
      <c r="N84" s="798"/>
      <c r="O84" s="798"/>
      <c r="P84" s="798"/>
    </row>
    <row r="85" spans="3:16" ht="6" customHeight="1">
      <c r="C85" s="798"/>
      <c r="D85" s="798"/>
      <c r="E85" s="798"/>
      <c r="F85" s="798"/>
      <c r="G85" s="798"/>
      <c r="H85" s="798"/>
      <c r="I85" s="798"/>
      <c r="J85" s="798"/>
      <c r="K85" s="798"/>
      <c r="L85" s="798"/>
      <c r="M85" s="798"/>
      <c r="N85" s="798"/>
      <c r="O85" s="798"/>
      <c r="P85" s="798"/>
    </row>
    <row r="86" spans="3:16" ht="57">
      <c r="M86" s="743"/>
      <c r="N86" s="743" t="s">
        <v>530</v>
      </c>
      <c r="O86" s="743" t="s">
        <v>531</v>
      </c>
      <c r="P86" s="743" t="s">
        <v>532</v>
      </c>
    </row>
    <row r="87" spans="3:16">
      <c r="O87" s="794" t="s">
        <v>533</v>
      </c>
      <c r="P87" s="795"/>
    </row>
    <row r="88" spans="3:16">
      <c r="C88" s="371" t="s">
        <v>534</v>
      </c>
      <c r="N88" s="121">
        <v>100</v>
      </c>
      <c r="O88" s="38">
        <v>44</v>
      </c>
      <c r="P88" s="371">
        <v>41</v>
      </c>
    </row>
    <row r="89" spans="3:16">
      <c r="C89" s="371" t="s">
        <v>535</v>
      </c>
      <c r="N89" s="121">
        <v>65</v>
      </c>
      <c r="O89" s="38">
        <v>29</v>
      </c>
      <c r="P89" s="38">
        <v>0</v>
      </c>
    </row>
    <row r="91" spans="3:16">
      <c r="C91" s="371" t="s">
        <v>536</v>
      </c>
    </row>
    <row r="92" spans="3:16">
      <c r="C92" s="371" t="s">
        <v>537</v>
      </c>
    </row>
  </sheetData>
  <mergeCells count="18">
    <mergeCell ref="C57:C58"/>
    <mergeCell ref="F57:F58"/>
    <mergeCell ref="G57:J57"/>
    <mergeCell ref="K57:M57"/>
    <mergeCell ref="N57:N58"/>
    <mergeCell ref="O87:P87"/>
    <mergeCell ref="N7:P7"/>
    <mergeCell ref="C79:P81"/>
    <mergeCell ref="C83:P85"/>
    <mergeCell ref="G72:M72"/>
    <mergeCell ref="O57:O58"/>
    <mergeCell ref="G59:M59"/>
    <mergeCell ref="C70:C71"/>
    <mergeCell ref="F70:F71"/>
    <mergeCell ref="G70:J70"/>
    <mergeCell ref="K70:M70"/>
    <mergeCell ref="N70:N71"/>
    <mergeCell ref="O70:O71"/>
  </mergeCells>
  <pageMargins left="0.45" right="0.45" top="0.75" bottom="0.75" header="0.3" footer="0.3"/>
  <pageSetup scale="51" orientation="portrait" r:id="rId1"/>
  <headerFooter>
    <oddFooter>&amp;C7 of 9</oddFooter>
  </headerFooter>
</worksheet>
</file>

<file path=xl/worksheets/sheet18.xml><?xml version="1.0" encoding="utf-8"?>
<worksheet xmlns="http://schemas.openxmlformats.org/spreadsheetml/2006/main" xmlns:r="http://schemas.openxmlformats.org/officeDocument/2006/relationships">
  <sheetPr codeName="Sheet10"/>
  <dimension ref="A1:T60"/>
  <sheetViews>
    <sheetView view="pageBreakPreview" zoomScaleSheetLayoutView="100" workbookViewId="0">
      <selection activeCell="C25" sqref="C25"/>
    </sheetView>
  </sheetViews>
  <sheetFormatPr defaultRowHeight="12"/>
  <cols>
    <col min="1" max="1" width="3.25" style="55" customWidth="1"/>
    <col min="2" max="2" width="3.625" style="58" customWidth="1"/>
    <col min="3" max="3" width="32.125" style="56" customWidth="1"/>
    <col min="4" max="4" width="2.75" style="370" customWidth="1"/>
    <col min="5" max="5" width="7.625" style="370" customWidth="1"/>
    <col min="6" max="6" width="0.875" style="370" customWidth="1"/>
    <col min="7" max="7" width="7.625" style="370" customWidth="1"/>
    <col min="8" max="8" width="1" style="30" customWidth="1"/>
    <col min="9" max="9" width="7.625" style="56" customWidth="1"/>
    <col min="10" max="10" width="0.875" style="56" customWidth="1"/>
    <col min="11" max="11" width="7.375" style="56" customWidth="1"/>
    <col min="12" max="12" width="0.5" style="56" customWidth="1"/>
    <col min="13" max="13" width="7.625" style="370" customWidth="1"/>
    <col min="14" max="14" width="0.625" style="370" customWidth="1"/>
    <col min="15" max="15" width="7.625" style="370" customWidth="1"/>
    <col min="16" max="16" width="0.5" style="370" customWidth="1"/>
    <col min="17" max="17" width="7.625" style="370" customWidth="1"/>
    <col min="18" max="18" width="0.5" style="370" customWidth="1"/>
    <col min="19" max="19" width="7.375" style="370" customWidth="1"/>
    <col min="20" max="20" width="0.25" style="370" customWidth="1"/>
    <col min="21" max="16384" width="9" style="56"/>
  </cols>
  <sheetData>
    <row r="1" spans="1:20" s="370" customFormat="1">
      <c r="A1" s="369"/>
      <c r="B1" s="58"/>
      <c r="E1" s="776" t="s">
        <v>445</v>
      </c>
      <c r="F1" s="777"/>
      <c r="G1" s="777"/>
      <c r="H1" s="777"/>
      <c r="I1" s="777"/>
      <c r="J1" s="777"/>
      <c r="K1" s="778"/>
      <c r="L1" s="28"/>
      <c r="M1" s="776" t="s">
        <v>420</v>
      </c>
      <c r="N1" s="777"/>
      <c r="O1" s="777"/>
      <c r="P1" s="777"/>
      <c r="Q1" s="777"/>
      <c r="R1" s="777"/>
      <c r="S1" s="778"/>
      <c r="T1" s="621"/>
    </row>
    <row r="2" spans="1:20" s="370" customFormat="1" ht="36">
      <c r="A2" s="369"/>
      <c r="B2" s="58"/>
      <c r="E2" s="610" t="s">
        <v>423</v>
      </c>
      <c r="F2" s="4"/>
      <c r="G2" s="610" t="s">
        <v>425</v>
      </c>
      <c r="H2" s="4"/>
      <c r="I2" s="611" t="s">
        <v>424</v>
      </c>
      <c r="J2" s="506"/>
      <c r="K2" s="611" t="s">
        <v>213</v>
      </c>
      <c r="L2" s="556"/>
      <c r="M2" s="610" t="s">
        <v>423</v>
      </c>
      <c r="N2" s="4"/>
      <c r="O2" s="610" t="s">
        <v>425</v>
      </c>
      <c r="P2" s="4"/>
      <c r="Q2" s="611" t="s">
        <v>424</v>
      </c>
      <c r="R2" s="506"/>
      <c r="S2" s="611" t="s">
        <v>213</v>
      </c>
      <c r="T2" s="506"/>
    </row>
    <row r="3" spans="1:20">
      <c r="A3" s="369">
        <v>6.4</v>
      </c>
      <c r="B3" s="675" t="s">
        <v>369</v>
      </c>
      <c r="C3" s="676"/>
      <c r="D3" s="676"/>
      <c r="E3" s="806" t="s">
        <v>426</v>
      </c>
      <c r="F3" s="807"/>
      <c r="G3" s="807"/>
      <c r="H3" s="807"/>
      <c r="I3" s="807"/>
      <c r="J3" s="807"/>
      <c r="K3" s="807"/>
      <c r="L3" s="807"/>
      <c r="M3" s="807"/>
      <c r="N3" s="807"/>
      <c r="O3" s="807"/>
      <c r="P3" s="807"/>
      <c r="Q3" s="807"/>
      <c r="R3" s="807"/>
      <c r="S3" s="808"/>
      <c r="T3" s="464"/>
    </row>
    <row r="4" spans="1:20">
      <c r="A4" s="369"/>
      <c r="B4" s="677" t="s">
        <v>371</v>
      </c>
      <c r="C4" s="676"/>
      <c r="D4" s="676"/>
      <c r="E4" s="466"/>
      <c r="F4" s="466"/>
      <c r="G4" s="466"/>
      <c r="H4" s="466"/>
      <c r="I4" s="466"/>
      <c r="J4" s="77"/>
      <c r="K4" s="77"/>
      <c r="L4" s="466"/>
      <c r="M4" s="466"/>
      <c r="N4" s="466"/>
      <c r="O4" s="466"/>
      <c r="P4" s="466"/>
      <c r="Q4" s="466"/>
      <c r="R4" s="466"/>
      <c r="S4" s="466"/>
      <c r="T4" s="466"/>
    </row>
    <row r="5" spans="1:20" s="370" customFormat="1">
      <c r="A5" s="369"/>
      <c r="B5" s="677" t="s">
        <v>370</v>
      </c>
      <c r="C5" s="676"/>
      <c r="D5" s="676"/>
      <c r="E5" s="676"/>
      <c r="F5" s="676"/>
      <c r="G5" s="676"/>
      <c r="H5" s="64"/>
      <c r="I5" s="77"/>
      <c r="J5" s="77"/>
      <c r="K5" s="77"/>
      <c r="L5" s="428"/>
      <c r="M5" s="428"/>
      <c r="N5" s="428"/>
      <c r="O5" s="428"/>
      <c r="P5" s="428"/>
      <c r="Q5" s="428"/>
      <c r="R5" s="428"/>
      <c r="S5" s="428"/>
      <c r="T5" s="428"/>
    </row>
    <row r="6" spans="1:20">
      <c r="A6" s="372"/>
      <c r="B6" s="367"/>
      <c r="C6" s="533"/>
      <c r="D6" s="533"/>
      <c r="E6" s="533"/>
      <c r="F6" s="533"/>
      <c r="G6" s="533"/>
      <c r="H6" s="373"/>
      <c r="I6" s="533"/>
      <c r="J6" s="77"/>
      <c r="K6" s="77"/>
      <c r="L6" s="552"/>
      <c r="M6" s="552"/>
      <c r="N6" s="552"/>
      <c r="O6" s="552"/>
      <c r="P6" s="552"/>
      <c r="Q6" s="552"/>
      <c r="R6" s="552"/>
      <c r="S6" s="552"/>
      <c r="T6" s="552"/>
    </row>
    <row r="7" spans="1:20" ht="12" customHeight="1">
      <c r="A7" s="369"/>
      <c r="B7" s="374" t="s">
        <v>157</v>
      </c>
      <c r="C7" s="676"/>
      <c r="D7" s="676"/>
      <c r="E7" s="678">
        <v>97014.728000000003</v>
      </c>
      <c r="F7" s="679"/>
      <c r="G7" s="678">
        <v>70556</v>
      </c>
      <c r="H7" s="679"/>
      <c r="I7" s="678">
        <v>16170</v>
      </c>
      <c r="J7" s="57"/>
      <c r="K7" s="678">
        <v>183740.728</v>
      </c>
      <c r="L7" s="680"/>
      <c r="M7" s="681">
        <v>26193</v>
      </c>
      <c r="N7" s="676"/>
      <c r="O7" s="681">
        <v>0</v>
      </c>
      <c r="P7" s="676"/>
      <c r="Q7" s="681">
        <v>0</v>
      </c>
      <c r="R7" s="77"/>
      <c r="S7" s="681">
        <v>26193</v>
      </c>
      <c r="T7" s="553"/>
    </row>
    <row r="8" spans="1:20" ht="12" customHeight="1">
      <c r="A8" s="369"/>
      <c r="B8" s="682" t="s">
        <v>373</v>
      </c>
      <c r="C8" s="676"/>
      <c r="D8" s="676"/>
      <c r="E8" s="683"/>
      <c r="F8" s="679"/>
      <c r="G8" s="683"/>
      <c r="H8" s="679"/>
      <c r="I8" s="683"/>
      <c r="J8" s="57"/>
      <c r="K8" s="683"/>
      <c r="L8" s="119"/>
      <c r="M8" s="684"/>
      <c r="N8" s="676"/>
      <c r="O8" s="684"/>
      <c r="P8" s="676"/>
      <c r="Q8" s="684"/>
      <c r="R8" s="77"/>
      <c r="S8" s="684"/>
      <c r="T8" s="119"/>
    </row>
    <row r="9" spans="1:20" ht="12" customHeight="1">
      <c r="A9" s="369"/>
      <c r="B9" s="685"/>
      <c r="C9" s="682" t="s">
        <v>372</v>
      </c>
      <c r="D9" s="676"/>
      <c r="E9" s="686">
        <v>94863</v>
      </c>
      <c r="F9" s="679"/>
      <c r="G9" s="686">
        <v>70518</v>
      </c>
      <c r="H9" s="679"/>
      <c r="I9" s="686">
        <v>16000</v>
      </c>
      <c r="J9" s="57"/>
      <c r="K9" s="686">
        <v>181381</v>
      </c>
      <c r="L9" s="119"/>
      <c r="M9" s="687">
        <v>26218</v>
      </c>
      <c r="N9" s="676"/>
      <c r="O9" s="687">
        <v>0</v>
      </c>
      <c r="P9" s="676"/>
      <c r="Q9" s="687">
        <v>0</v>
      </c>
      <c r="R9" s="77"/>
      <c r="S9" s="687">
        <v>26218</v>
      </c>
      <c r="T9" s="119"/>
    </row>
    <row r="10" spans="1:20" ht="12" customHeight="1">
      <c r="A10" s="369"/>
      <c r="B10" s="64" t="s">
        <v>548</v>
      </c>
      <c r="C10" s="676"/>
      <c r="D10" s="676"/>
      <c r="E10" s="688">
        <v>2151.7280000000028</v>
      </c>
      <c r="F10" s="679"/>
      <c r="G10" s="688">
        <v>38</v>
      </c>
      <c r="H10" s="679"/>
      <c r="I10" s="688">
        <v>170</v>
      </c>
      <c r="J10" s="57"/>
      <c r="K10" s="688">
        <v>2359.7280000000028</v>
      </c>
      <c r="L10" s="554"/>
      <c r="M10" s="689">
        <v>-25</v>
      </c>
      <c r="N10" s="676"/>
      <c r="O10" s="689">
        <v>0</v>
      </c>
      <c r="P10" s="676"/>
      <c r="Q10" s="689">
        <v>0</v>
      </c>
      <c r="R10" s="77"/>
      <c r="S10" s="689">
        <v>-25</v>
      </c>
      <c r="T10" s="554"/>
    </row>
    <row r="11" spans="1:20" ht="12" customHeight="1">
      <c r="A11" s="369"/>
      <c r="B11" s="690" t="s">
        <v>549</v>
      </c>
      <c r="C11" s="676"/>
      <c r="D11" s="676"/>
      <c r="E11" s="563">
        <v>-25.09</v>
      </c>
      <c r="F11" s="679"/>
      <c r="G11" s="563">
        <v>0</v>
      </c>
      <c r="H11" s="679"/>
      <c r="I11" s="563">
        <v>0</v>
      </c>
      <c r="J11" s="57"/>
      <c r="K11" s="563">
        <v>-25.09</v>
      </c>
      <c r="L11" s="555"/>
      <c r="M11" s="118">
        <v>0</v>
      </c>
      <c r="N11" s="676"/>
      <c r="O11" s="118">
        <v>0</v>
      </c>
      <c r="P11" s="676"/>
      <c r="Q11" s="118">
        <v>0</v>
      </c>
      <c r="R11" s="77"/>
      <c r="S11" s="118">
        <v>0</v>
      </c>
      <c r="T11" s="555"/>
    </row>
    <row r="12" spans="1:20" ht="12" customHeight="1" thickBot="1">
      <c r="A12" s="369"/>
      <c r="B12" s="690"/>
      <c r="C12" s="676"/>
      <c r="D12" s="676"/>
      <c r="E12" s="691">
        <v>2176.8180000000029</v>
      </c>
      <c r="F12" s="679"/>
      <c r="G12" s="691">
        <v>38</v>
      </c>
      <c r="H12" s="679"/>
      <c r="I12" s="691">
        <v>170</v>
      </c>
      <c r="J12" s="57"/>
      <c r="K12" s="691">
        <v>2384.8180000000029</v>
      </c>
      <c r="L12" s="555"/>
      <c r="M12" s="576">
        <v>-25</v>
      </c>
      <c r="N12" s="676"/>
      <c r="O12" s="576">
        <v>0</v>
      </c>
      <c r="P12" s="676"/>
      <c r="Q12" s="576">
        <v>0</v>
      </c>
      <c r="R12" s="77"/>
      <c r="S12" s="576">
        <v>-25</v>
      </c>
      <c r="T12" s="555"/>
    </row>
    <row r="13" spans="1:20" ht="12.75" thickTop="1">
      <c r="A13" s="423"/>
      <c r="B13" s="423"/>
      <c r="C13" s="423"/>
      <c r="D13" s="423"/>
      <c r="E13" s="28"/>
      <c r="F13" s="28"/>
      <c r="G13" s="28"/>
      <c r="H13" s="28"/>
      <c r="I13" s="28"/>
      <c r="J13" s="28"/>
      <c r="K13" s="28"/>
      <c r="L13" s="28"/>
      <c r="M13" s="28"/>
      <c r="N13" s="28"/>
      <c r="O13" s="28"/>
      <c r="P13" s="28"/>
      <c r="Q13" s="28"/>
      <c r="R13" s="28"/>
      <c r="S13" s="28"/>
      <c r="T13" s="28"/>
    </row>
    <row r="14" spans="1:20" ht="12" customHeight="1">
      <c r="A14" s="384">
        <v>7</v>
      </c>
      <c r="B14" s="363" t="s">
        <v>334</v>
      </c>
      <c r="C14" s="414"/>
      <c r="D14" s="533"/>
      <c r="E14" s="533"/>
      <c r="F14" s="533"/>
      <c r="G14" s="533"/>
      <c r="H14" s="373"/>
      <c r="I14" s="414"/>
      <c r="J14" s="424"/>
      <c r="K14" s="425"/>
      <c r="L14" s="424"/>
      <c r="M14" s="531"/>
      <c r="N14" s="531"/>
      <c r="O14" s="531"/>
      <c r="P14" s="531"/>
      <c r="Q14" s="531"/>
      <c r="R14" s="531"/>
      <c r="S14" s="531"/>
      <c r="T14" s="531"/>
    </row>
    <row r="15" spans="1:20" ht="12" customHeight="1">
      <c r="A15" s="372"/>
      <c r="B15" s="367"/>
      <c r="C15" s="414"/>
      <c r="D15" s="533"/>
      <c r="E15" s="533"/>
      <c r="F15" s="533"/>
      <c r="G15" s="533"/>
      <c r="H15" s="373"/>
      <c r="I15" s="414"/>
      <c r="J15" s="8"/>
      <c r="K15" s="425"/>
      <c r="L15" s="8"/>
      <c r="M15" s="8"/>
      <c r="N15" s="8"/>
      <c r="O15" s="8"/>
      <c r="P15" s="8"/>
      <c r="Q15" s="8"/>
      <c r="R15" s="8"/>
      <c r="S15" s="8"/>
      <c r="T15" s="8"/>
    </row>
    <row r="16" spans="1:20">
      <c r="A16" s="372"/>
      <c r="E16" s="776" t="s">
        <v>445</v>
      </c>
      <c r="F16" s="777"/>
      <c r="G16" s="777"/>
      <c r="H16" s="777"/>
      <c r="I16" s="777"/>
      <c r="J16" s="777"/>
      <c r="K16" s="778"/>
      <c r="L16" s="28"/>
      <c r="M16" s="776" t="s">
        <v>420</v>
      </c>
      <c r="N16" s="777"/>
      <c r="O16" s="777"/>
      <c r="P16" s="777"/>
      <c r="Q16" s="777"/>
      <c r="R16" s="777"/>
      <c r="S16" s="778"/>
      <c r="T16" s="28"/>
    </row>
    <row r="17" spans="1:20" ht="36">
      <c r="A17" s="372"/>
      <c r="E17" s="610" t="s">
        <v>423</v>
      </c>
      <c r="F17" s="4"/>
      <c r="G17" s="610" t="s">
        <v>425</v>
      </c>
      <c r="H17" s="4"/>
      <c r="I17" s="611" t="s">
        <v>424</v>
      </c>
      <c r="J17" s="506"/>
      <c r="K17" s="611" t="s">
        <v>213</v>
      </c>
      <c r="L17" s="556"/>
      <c r="M17" s="610" t="s">
        <v>423</v>
      </c>
      <c r="N17" s="4"/>
      <c r="O17" s="610" t="s">
        <v>425</v>
      </c>
      <c r="P17" s="4"/>
      <c r="Q17" s="611" t="s">
        <v>424</v>
      </c>
      <c r="R17" s="506"/>
      <c r="S17" s="611" t="s">
        <v>213</v>
      </c>
      <c r="T17" s="556"/>
    </row>
    <row r="18" spans="1:20" s="370" customFormat="1">
      <c r="A18" s="372"/>
      <c r="E18" s="786" t="s">
        <v>426</v>
      </c>
      <c r="F18" s="787"/>
      <c r="G18" s="787"/>
      <c r="H18" s="787"/>
      <c r="I18" s="787"/>
      <c r="J18" s="787"/>
      <c r="K18" s="787"/>
      <c r="L18" s="787"/>
      <c r="M18" s="787"/>
      <c r="N18" s="787"/>
      <c r="O18" s="787"/>
      <c r="P18" s="787"/>
      <c r="Q18" s="787"/>
      <c r="R18" s="787"/>
      <c r="S18" s="788"/>
      <c r="T18" s="609"/>
    </row>
    <row r="19" spans="1:20" ht="12" customHeight="1">
      <c r="A19" s="372"/>
      <c r="E19" s="430"/>
      <c r="F19" s="430"/>
      <c r="G19" s="430"/>
      <c r="H19" s="373"/>
      <c r="I19" s="414"/>
      <c r="J19" s="380">
        <v>0</v>
      </c>
      <c r="K19" s="381"/>
      <c r="L19" s="380">
        <v>21672</v>
      </c>
      <c r="M19" s="380"/>
      <c r="N19" s="380"/>
      <c r="O19" s="380"/>
      <c r="P19" s="380"/>
      <c r="Q19" s="380"/>
      <c r="R19" s="380"/>
      <c r="S19" s="380"/>
      <c r="T19" s="380"/>
    </row>
    <row r="20" spans="1:20" ht="12" customHeight="1">
      <c r="A20" s="372"/>
      <c r="B20" s="374" t="s">
        <v>223</v>
      </c>
      <c r="C20" s="404"/>
      <c r="D20" s="404"/>
      <c r="E20" s="533"/>
      <c r="F20" s="533"/>
      <c r="G20" s="533"/>
      <c r="H20" s="373"/>
      <c r="I20" s="414"/>
      <c r="J20" s="427">
        <v>0</v>
      </c>
      <c r="K20" s="382"/>
      <c r="L20" s="427"/>
      <c r="M20" s="427"/>
      <c r="N20" s="427"/>
      <c r="O20" s="427"/>
      <c r="P20" s="427"/>
      <c r="Q20" s="427"/>
      <c r="R20" s="427"/>
      <c r="S20" s="427"/>
      <c r="T20" s="427"/>
    </row>
    <row r="21" spans="1:20" ht="12" customHeight="1">
      <c r="A21" s="372"/>
      <c r="B21" s="429" t="s">
        <v>478</v>
      </c>
      <c r="D21" s="615">
        <v>7.1</v>
      </c>
      <c r="E21" s="563">
        <v>132.68600000000001</v>
      </c>
      <c r="F21" s="563">
        <v>0</v>
      </c>
      <c r="G21" s="563">
        <v>102.33799999999999</v>
      </c>
      <c r="H21" s="563">
        <v>0</v>
      </c>
      <c r="I21" s="563">
        <v>106.599</v>
      </c>
      <c r="J21" s="380"/>
      <c r="K21" s="559">
        <v>341.62299999999999</v>
      </c>
      <c r="L21" s="370"/>
      <c r="M21" s="118">
        <v>48</v>
      </c>
      <c r="N21" s="563"/>
      <c r="O21" s="118">
        <v>46</v>
      </c>
      <c r="P21" s="563"/>
      <c r="Q21" s="118">
        <v>47</v>
      </c>
      <c r="R21" s="380"/>
      <c r="S21" s="559">
        <v>141</v>
      </c>
    </row>
    <row r="22" spans="1:20" ht="12" customHeight="1">
      <c r="A22" s="383"/>
      <c r="B22" s="429" t="s">
        <v>336</v>
      </c>
      <c r="D22" s="615">
        <v>7.1999999999999993</v>
      </c>
      <c r="E22" s="563">
        <v>21.547000000000001</v>
      </c>
      <c r="F22" s="563">
        <v>0</v>
      </c>
      <c r="G22" s="563">
        <v>16.619</v>
      </c>
      <c r="H22" s="563">
        <v>0</v>
      </c>
      <c r="I22" s="563">
        <v>17.311</v>
      </c>
      <c r="J22" s="380"/>
      <c r="K22" s="559">
        <v>55.476999999999997</v>
      </c>
      <c r="L22" s="370"/>
      <c r="M22" s="118">
        <v>8</v>
      </c>
      <c r="N22" s="563"/>
      <c r="O22" s="118">
        <v>8</v>
      </c>
      <c r="P22" s="563"/>
      <c r="Q22" s="118">
        <v>9</v>
      </c>
      <c r="R22" s="380"/>
      <c r="S22" s="559">
        <v>25</v>
      </c>
    </row>
    <row r="23" spans="1:20" ht="12" customHeight="1">
      <c r="A23" s="372"/>
      <c r="B23" s="429" t="s">
        <v>337</v>
      </c>
      <c r="E23" s="563">
        <v>80.832999999999998</v>
      </c>
      <c r="F23" s="563">
        <v>0</v>
      </c>
      <c r="G23" s="563">
        <v>80.832999999999998</v>
      </c>
      <c r="H23" s="563">
        <v>0</v>
      </c>
      <c r="I23" s="563">
        <v>80.832999999999998</v>
      </c>
      <c r="J23" s="380"/>
      <c r="K23" s="559">
        <v>242.499</v>
      </c>
      <c r="L23" s="370"/>
      <c r="M23" s="118">
        <v>81</v>
      </c>
      <c r="N23" s="563"/>
      <c r="O23" s="118">
        <v>81</v>
      </c>
      <c r="P23" s="563"/>
      <c r="Q23" s="118">
        <v>80</v>
      </c>
      <c r="R23" s="380"/>
      <c r="S23" s="559">
        <v>242</v>
      </c>
    </row>
    <row r="24" spans="1:20" s="370" customFormat="1" ht="12" customHeight="1">
      <c r="A24" s="372"/>
      <c r="B24" s="429" t="s">
        <v>338</v>
      </c>
      <c r="E24" s="563">
        <v>2611.9180000000001</v>
      </c>
      <c r="F24" s="563">
        <v>0</v>
      </c>
      <c r="G24" s="563">
        <v>105</v>
      </c>
      <c r="H24" s="563">
        <v>0</v>
      </c>
      <c r="I24" s="563">
        <v>10</v>
      </c>
      <c r="J24" s="380"/>
      <c r="K24" s="559">
        <v>2726.9180000000001</v>
      </c>
      <c r="M24" s="118">
        <v>2600</v>
      </c>
      <c r="N24" s="563"/>
      <c r="O24" s="118">
        <v>100</v>
      </c>
      <c r="P24" s="563"/>
      <c r="Q24" s="118">
        <v>0</v>
      </c>
      <c r="R24" s="380"/>
      <c r="S24" s="559">
        <v>2700</v>
      </c>
    </row>
    <row r="25" spans="1:20" ht="12" customHeight="1">
      <c r="A25" s="372"/>
      <c r="B25" s="429" t="s">
        <v>339</v>
      </c>
      <c r="E25" s="563">
        <v>25</v>
      </c>
      <c r="F25" s="563">
        <v>0</v>
      </c>
      <c r="G25" s="563">
        <v>25</v>
      </c>
      <c r="H25" s="563">
        <v>0</v>
      </c>
      <c r="I25" s="563">
        <v>20</v>
      </c>
      <c r="J25" s="557"/>
      <c r="K25" s="559">
        <v>70</v>
      </c>
      <c r="L25" s="424"/>
      <c r="M25" s="118">
        <v>25</v>
      </c>
      <c r="N25" s="563"/>
      <c r="O25" s="118">
        <v>25</v>
      </c>
      <c r="P25" s="563"/>
      <c r="Q25" s="118">
        <v>20</v>
      </c>
      <c r="R25" s="557"/>
      <c r="S25" s="559">
        <v>70</v>
      </c>
      <c r="T25" s="531"/>
    </row>
    <row r="26" spans="1:20" s="370" customFormat="1" ht="12" customHeight="1" thickBot="1">
      <c r="A26" s="372"/>
      <c r="B26" s="429"/>
      <c r="E26" s="560">
        <v>2871.9839999999999</v>
      </c>
      <c r="F26" s="561"/>
      <c r="G26" s="560">
        <v>329.78999999999996</v>
      </c>
      <c r="H26" s="562"/>
      <c r="I26" s="560">
        <v>234.74299999999999</v>
      </c>
      <c r="J26" s="531"/>
      <c r="K26" s="560">
        <v>3436.5169999999998</v>
      </c>
      <c r="L26" s="531"/>
      <c r="M26" s="120">
        <v>2762</v>
      </c>
      <c r="N26" s="561"/>
      <c r="O26" s="120">
        <v>260</v>
      </c>
      <c r="P26" s="562"/>
      <c r="Q26" s="120">
        <v>156</v>
      </c>
      <c r="R26" s="531"/>
      <c r="S26" s="560">
        <v>3178</v>
      </c>
      <c r="T26" s="531"/>
    </row>
    <row r="27" spans="1:20" s="370" customFormat="1" ht="12" customHeight="1" thickTop="1">
      <c r="A27" s="372"/>
      <c r="B27" s="367"/>
      <c r="C27" s="533"/>
      <c r="D27" s="533"/>
      <c r="E27" s="533"/>
      <c r="F27" s="533"/>
      <c r="G27" s="533"/>
      <c r="H27" s="373"/>
      <c r="I27" s="533"/>
      <c r="J27" s="531"/>
      <c r="K27" s="532"/>
      <c r="L27" s="531"/>
      <c r="M27" s="531"/>
      <c r="N27" s="531"/>
      <c r="O27" s="531"/>
      <c r="P27" s="531"/>
      <c r="Q27" s="531"/>
      <c r="R27" s="531"/>
      <c r="S27" s="531"/>
      <c r="T27" s="531"/>
    </row>
    <row r="28" spans="1:20" s="370" customFormat="1" ht="12" customHeight="1">
      <c r="A28" s="616">
        <v>7.1</v>
      </c>
      <c r="B28" s="809" t="s">
        <v>479</v>
      </c>
      <c r="C28" s="809"/>
      <c r="D28" s="809"/>
      <c r="E28" s="809"/>
      <c r="F28" s="809"/>
      <c r="G28" s="809"/>
      <c r="H28" s="809"/>
      <c r="I28" s="809"/>
      <c r="J28" s="809"/>
      <c r="K28" s="809"/>
      <c r="L28" s="809"/>
      <c r="M28" s="809"/>
      <c r="N28" s="809"/>
      <c r="O28" s="809"/>
      <c r="P28" s="809"/>
      <c r="Q28" s="809"/>
      <c r="R28" s="809"/>
      <c r="S28" s="809"/>
      <c r="T28" s="531"/>
    </row>
    <row r="29" spans="1:20" s="370" customFormat="1" ht="12" customHeight="1">
      <c r="A29" s="372"/>
      <c r="B29" s="809"/>
      <c r="C29" s="809"/>
      <c r="D29" s="809"/>
      <c r="E29" s="809"/>
      <c r="F29" s="809"/>
      <c r="G29" s="809"/>
      <c r="H29" s="809"/>
      <c r="I29" s="809"/>
      <c r="J29" s="809"/>
      <c r="K29" s="809"/>
      <c r="L29" s="809"/>
      <c r="M29" s="809"/>
      <c r="N29" s="809"/>
      <c r="O29" s="809"/>
      <c r="P29" s="809"/>
      <c r="Q29" s="809"/>
      <c r="R29" s="809"/>
      <c r="S29" s="809"/>
      <c r="T29" s="531"/>
    </row>
    <row r="30" spans="1:20" s="370" customFormat="1" ht="12" customHeight="1">
      <c r="A30" s="372"/>
      <c r="B30" s="426"/>
      <c r="C30" s="533"/>
      <c r="D30" s="533"/>
      <c r="E30" s="533"/>
      <c r="F30" s="533"/>
      <c r="G30" s="533"/>
      <c r="H30" s="373"/>
      <c r="I30" s="533"/>
      <c r="J30" s="531"/>
      <c r="K30" s="532"/>
      <c r="L30" s="531"/>
      <c r="M30" s="531"/>
      <c r="N30" s="531"/>
      <c r="O30" s="531"/>
      <c r="P30" s="531"/>
      <c r="Q30" s="531"/>
      <c r="R30" s="531"/>
      <c r="S30" s="531"/>
      <c r="T30" s="531"/>
    </row>
    <row r="31" spans="1:20" s="370" customFormat="1" ht="12" customHeight="1">
      <c r="A31" s="616">
        <v>7.2</v>
      </c>
      <c r="B31" s="809" t="s">
        <v>428</v>
      </c>
      <c r="C31" s="809"/>
      <c r="D31" s="809"/>
      <c r="E31" s="809"/>
      <c r="F31" s="809"/>
      <c r="G31" s="809"/>
      <c r="H31" s="809"/>
      <c r="I31" s="809"/>
      <c r="J31" s="809"/>
      <c r="K31" s="809"/>
      <c r="L31" s="809"/>
      <c r="M31" s="809"/>
      <c r="N31" s="809"/>
      <c r="O31" s="809"/>
      <c r="P31" s="809"/>
      <c r="Q31" s="809"/>
      <c r="R31" s="809"/>
      <c r="S31" s="809"/>
      <c r="T31" s="531"/>
    </row>
    <row r="32" spans="1:20" s="370" customFormat="1" ht="12" customHeight="1">
      <c r="A32" s="372"/>
      <c r="B32" s="809"/>
      <c r="C32" s="809"/>
      <c r="D32" s="809"/>
      <c r="E32" s="809"/>
      <c r="F32" s="809"/>
      <c r="G32" s="809"/>
      <c r="H32" s="809"/>
      <c r="I32" s="809"/>
      <c r="J32" s="809"/>
      <c r="K32" s="809"/>
      <c r="L32" s="809"/>
      <c r="M32" s="809"/>
      <c r="N32" s="809"/>
      <c r="O32" s="809"/>
      <c r="P32" s="809"/>
      <c r="Q32" s="809"/>
      <c r="R32" s="809"/>
      <c r="S32" s="809"/>
      <c r="T32" s="531"/>
    </row>
    <row r="33" spans="1:20" s="370" customFormat="1" ht="12" customHeight="1">
      <c r="A33" s="372"/>
      <c r="B33" s="367"/>
      <c r="C33" s="533"/>
      <c r="D33" s="533"/>
      <c r="E33" s="533"/>
      <c r="F33" s="533"/>
      <c r="G33" s="533"/>
      <c r="H33" s="373"/>
      <c r="I33" s="533"/>
      <c r="J33" s="531"/>
      <c r="K33" s="532"/>
      <c r="L33" s="531"/>
      <c r="M33" s="531"/>
      <c r="N33" s="531"/>
      <c r="O33" s="531"/>
      <c r="P33" s="531"/>
      <c r="Q33" s="531"/>
      <c r="R33" s="531"/>
      <c r="S33" s="531"/>
      <c r="T33" s="531"/>
    </row>
    <row r="34" spans="1:20" s="370" customFormat="1" ht="12" customHeight="1">
      <c r="A34" s="372">
        <v>8</v>
      </c>
      <c r="B34" s="363" t="s">
        <v>427</v>
      </c>
      <c r="C34" s="533"/>
      <c r="D34" s="533"/>
      <c r="E34" s="533"/>
      <c r="F34" s="533"/>
      <c r="G34" s="533"/>
      <c r="H34" s="373"/>
      <c r="I34" s="533"/>
      <c r="J34" s="531"/>
      <c r="K34" s="532"/>
      <c r="L34" s="531"/>
      <c r="M34" s="531"/>
      <c r="N34" s="531"/>
      <c r="O34" s="531"/>
      <c r="P34" s="531"/>
      <c r="Q34" s="531"/>
      <c r="R34" s="531"/>
      <c r="S34" s="531"/>
      <c r="T34" s="531"/>
    </row>
    <row r="35" spans="1:20" s="370" customFormat="1" ht="12" customHeight="1">
      <c r="A35" s="372"/>
      <c r="B35" s="367"/>
      <c r="C35" s="533"/>
      <c r="D35" s="533"/>
      <c r="E35" s="533"/>
      <c r="F35" s="533"/>
      <c r="G35" s="533"/>
      <c r="H35" s="373"/>
      <c r="I35" s="533"/>
      <c r="J35" s="531"/>
      <c r="K35" s="532"/>
      <c r="L35" s="531"/>
      <c r="M35" s="531"/>
      <c r="N35" s="531"/>
      <c r="O35" s="531"/>
      <c r="P35" s="531"/>
      <c r="Q35" s="531"/>
      <c r="R35" s="531"/>
      <c r="S35" s="531"/>
      <c r="T35" s="531"/>
    </row>
    <row r="36" spans="1:20" s="370" customFormat="1" ht="12" customHeight="1">
      <c r="A36" s="372"/>
      <c r="B36" s="367"/>
      <c r="C36" s="533"/>
      <c r="D36" s="533"/>
      <c r="E36" s="776" t="s">
        <v>445</v>
      </c>
      <c r="F36" s="777"/>
      <c r="G36" s="777"/>
      <c r="H36" s="777"/>
      <c r="I36" s="777"/>
      <c r="J36" s="777"/>
      <c r="K36" s="778"/>
      <c r="L36" s="28"/>
      <c r="M36" s="776" t="s">
        <v>420</v>
      </c>
      <c r="N36" s="777"/>
      <c r="O36" s="777"/>
      <c r="P36" s="777"/>
      <c r="Q36" s="777"/>
      <c r="R36" s="777"/>
      <c r="S36" s="778"/>
      <c r="T36" s="531"/>
    </row>
    <row r="37" spans="1:20" s="370" customFormat="1" ht="36">
      <c r="A37" s="372"/>
      <c r="B37" s="367"/>
      <c r="C37" s="533"/>
      <c r="D37" s="533"/>
      <c r="E37" s="610" t="s">
        <v>423</v>
      </c>
      <c r="F37" s="4"/>
      <c r="G37" s="610" t="s">
        <v>425</v>
      </c>
      <c r="H37" s="4"/>
      <c r="I37" s="611" t="s">
        <v>424</v>
      </c>
      <c r="J37" s="506"/>
      <c r="K37" s="611" t="s">
        <v>213</v>
      </c>
      <c r="L37" s="556"/>
      <c r="M37" s="610" t="s">
        <v>423</v>
      </c>
      <c r="N37" s="4"/>
      <c r="O37" s="610" t="s">
        <v>425</v>
      </c>
      <c r="P37" s="4"/>
      <c r="Q37" s="611" t="s">
        <v>424</v>
      </c>
      <c r="R37" s="506"/>
      <c r="S37" s="611" t="s">
        <v>213</v>
      </c>
      <c r="T37" s="531"/>
    </row>
    <row r="38" spans="1:20" s="370" customFormat="1">
      <c r="A38" s="372"/>
      <c r="B38" s="367"/>
      <c r="C38" s="533"/>
      <c r="D38" s="533"/>
      <c r="E38" s="786" t="s">
        <v>426</v>
      </c>
      <c r="F38" s="787"/>
      <c r="G38" s="787"/>
      <c r="H38" s="787"/>
      <c r="I38" s="787"/>
      <c r="J38" s="787"/>
      <c r="K38" s="787"/>
      <c r="L38" s="787"/>
      <c r="M38" s="787"/>
      <c r="N38" s="787"/>
      <c r="O38" s="787"/>
      <c r="P38" s="787"/>
      <c r="Q38" s="787"/>
      <c r="R38" s="787"/>
      <c r="S38" s="788"/>
      <c r="T38" s="531"/>
    </row>
    <row r="39" spans="1:20" s="370" customFormat="1">
      <c r="A39" s="372"/>
      <c r="B39" s="367"/>
      <c r="C39" s="533"/>
      <c r="D39" s="533"/>
      <c r="E39" s="533"/>
      <c r="F39" s="533"/>
      <c r="G39" s="533"/>
      <c r="H39" s="373"/>
      <c r="I39" s="533"/>
      <c r="J39" s="531"/>
      <c r="K39" s="532"/>
      <c r="L39" s="531"/>
      <c r="M39" s="531"/>
      <c r="N39" s="531"/>
      <c r="O39" s="531"/>
      <c r="P39" s="531"/>
      <c r="Q39" s="531"/>
      <c r="R39" s="531"/>
      <c r="S39" s="531"/>
      <c r="T39" s="531"/>
    </row>
    <row r="40" spans="1:20" s="370" customFormat="1">
      <c r="A40" s="372"/>
      <c r="B40" s="426" t="s">
        <v>429</v>
      </c>
      <c r="C40" s="533"/>
      <c r="D40" s="533"/>
      <c r="E40" s="118">
        <v>13</v>
      </c>
      <c r="F40" s="533"/>
      <c r="G40" s="118">
        <v>10</v>
      </c>
      <c r="H40" s="373"/>
      <c r="I40" s="118">
        <v>11</v>
      </c>
      <c r="J40" s="531"/>
      <c r="K40" s="559">
        <v>34</v>
      </c>
      <c r="L40" s="531"/>
      <c r="M40" s="557">
        <v>6</v>
      </c>
      <c r="N40" s="557"/>
      <c r="O40" s="557">
        <v>5</v>
      </c>
      <c r="P40" s="557"/>
      <c r="Q40" s="557">
        <v>5</v>
      </c>
      <c r="R40" s="557"/>
      <c r="S40" s="559">
        <v>16</v>
      </c>
      <c r="T40" s="531"/>
    </row>
    <row r="41" spans="1:20" s="370" customFormat="1">
      <c r="A41" s="372"/>
      <c r="B41" s="426" t="s">
        <v>430</v>
      </c>
      <c r="C41" s="533"/>
      <c r="D41" s="619">
        <v>8.1</v>
      </c>
      <c r="E41" s="118">
        <v>2</v>
      </c>
      <c r="F41" s="533"/>
      <c r="G41" s="118">
        <v>2</v>
      </c>
      <c r="H41" s="373"/>
      <c r="I41" s="118">
        <v>2</v>
      </c>
      <c r="J41" s="531"/>
      <c r="K41" s="559">
        <v>6</v>
      </c>
      <c r="L41" s="531"/>
      <c r="M41" s="557">
        <v>0</v>
      </c>
      <c r="N41" s="557"/>
      <c r="O41" s="557">
        <v>0</v>
      </c>
      <c r="P41" s="557"/>
      <c r="Q41" s="557">
        <v>0</v>
      </c>
      <c r="R41" s="557"/>
      <c r="S41" s="559">
        <v>0</v>
      </c>
      <c r="T41" s="531"/>
    </row>
    <row r="42" spans="1:20" s="370" customFormat="1" ht="12.75" thickBot="1">
      <c r="A42" s="372"/>
      <c r="B42" s="367"/>
      <c r="C42" s="533"/>
      <c r="D42" s="533"/>
      <c r="E42" s="560">
        <v>15</v>
      </c>
      <c r="F42" s="561"/>
      <c r="G42" s="560">
        <v>12</v>
      </c>
      <c r="H42" s="562"/>
      <c r="I42" s="560">
        <v>13</v>
      </c>
      <c r="J42" s="531"/>
      <c r="K42" s="560">
        <v>40</v>
      </c>
      <c r="L42" s="531"/>
      <c r="M42" s="617">
        <v>6</v>
      </c>
      <c r="N42" s="563"/>
      <c r="O42" s="617">
        <v>5</v>
      </c>
      <c r="P42" s="563"/>
      <c r="Q42" s="617">
        <v>5</v>
      </c>
      <c r="R42" s="557"/>
      <c r="S42" s="618">
        <v>16</v>
      </c>
      <c r="T42" s="531"/>
    </row>
    <row r="43" spans="1:20" s="370" customFormat="1" ht="12.75" thickTop="1">
      <c r="A43" s="372"/>
      <c r="B43" s="367"/>
      <c r="C43" s="533"/>
      <c r="D43" s="533"/>
      <c r="E43" s="533"/>
      <c r="F43" s="533"/>
      <c r="G43" s="533"/>
      <c r="H43" s="373"/>
      <c r="I43" s="533"/>
      <c r="J43" s="531"/>
      <c r="K43" s="532"/>
      <c r="L43" s="531"/>
      <c r="M43" s="531"/>
      <c r="N43" s="531"/>
      <c r="O43" s="531"/>
      <c r="P43" s="531"/>
      <c r="Q43" s="531"/>
      <c r="R43" s="531"/>
      <c r="S43" s="531"/>
      <c r="T43" s="531"/>
    </row>
    <row r="44" spans="1:20" s="370" customFormat="1" ht="12" customHeight="1">
      <c r="A44" s="620">
        <v>8.1</v>
      </c>
      <c r="B44" s="809" t="s">
        <v>431</v>
      </c>
      <c r="C44" s="809"/>
      <c r="D44" s="809"/>
      <c r="E44" s="809"/>
      <c r="F44" s="809"/>
      <c r="G44" s="809"/>
      <c r="H44" s="809"/>
      <c r="I44" s="809"/>
      <c r="J44" s="809"/>
      <c r="K44" s="809"/>
      <c r="L44" s="809"/>
      <c r="M44" s="809"/>
      <c r="N44" s="809"/>
      <c r="O44" s="809"/>
      <c r="P44" s="809"/>
      <c r="Q44" s="809"/>
      <c r="R44" s="809"/>
      <c r="S44" s="809"/>
      <c r="T44" s="531"/>
    </row>
    <row r="45" spans="1:20" s="370" customFormat="1" ht="12" customHeight="1">
      <c r="A45" s="372"/>
      <c r="B45" s="809"/>
      <c r="C45" s="809"/>
      <c r="D45" s="809"/>
      <c r="E45" s="809"/>
      <c r="F45" s="809"/>
      <c r="G45" s="809"/>
      <c r="H45" s="809"/>
      <c r="I45" s="809"/>
      <c r="J45" s="809"/>
      <c r="K45" s="809"/>
      <c r="L45" s="809"/>
      <c r="M45" s="809"/>
      <c r="N45" s="809"/>
      <c r="O45" s="809"/>
      <c r="P45" s="809"/>
      <c r="Q45" s="809"/>
      <c r="R45" s="809"/>
      <c r="S45" s="809"/>
      <c r="T45" s="531"/>
    </row>
    <row r="46" spans="1:20" s="370" customFormat="1">
      <c r="A46" s="372"/>
      <c r="B46" s="367"/>
      <c r="C46" s="533"/>
      <c r="D46" s="533"/>
      <c r="E46" s="533"/>
      <c r="F46" s="533"/>
      <c r="G46" s="533"/>
      <c r="H46" s="373"/>
      <c r="I46" s="533"/>
      <c r="J46" s="531"/>
      <c r="K46" s="532"/>
      <c r="L46" s="531"/>
      <c r="M46" s="531"/>
      <c r="N46" s="531"/>
      <c r="O46" s="531"/>
      <c r="P46" s="531"/>
      <c r="Q46" s="531"/>
      <c r="R46" s="531"/>
      <c r="S46" s="531"/>
      <c r="T46" s="531"/>
    </row>
    <row r="47" spans="1:20" s="370" customFormat="1">
      <c r="A47" s="384">
        <v>9</v>
      </c>
      <c r="B47" s="367" t="s">
        <v>340</v>
      </c>
      <c r="C47" s="282"/>
      <c r="D47" s="282"/>
      <c r="E47" s="70"/>
      <c r="F47" s="28"/>
      <c r="G47" s="28"/>
      <c r="H47" s="28"/>
      <c r="I47" s="28"/>
      <c r="J47" s="28"/>
      <c r="K47" s="28"/>
      <c r="L47" s="582"/>
      <c r="M47" s="582"/>
      <c r="N47" s="582"/>
      <c r="O47" s="582"/>
      <c r="P47" s="582"/>
      <c r="Q47" s="582"/>
      <c r="R47" s="582"/>
      <c r="S47" s="582"/>
      <c r="T47" s="582"/>
    </row>
    <row r="48" spans="1:20" s="370" customFormat="1">
      <c r="A48" s="372"/>
      <c r="B48" s="282"/>
      <c r="C48" s="282"/>
      <c r="D48" s="282"/>
      <c r="E48" s="28"/>
      <c r="F48" s="28"/>
      <c r="G48" s="28"/>
      <c r="H48" s="28"/>
      <c r="I48" s="28"/>
      <c r="J48" s="28"/>
      <c r="K48" s="28"/>
      <c r="L48" s="28"/>
      <c r="M48" s="28"/>
      <c r="N48" s="28"/>
      <c r="O48" s="28"/>
      <c r="P48" s="28"/>
      <c r="Q48" s="28"/>
      <c r="R48" s="28"/>
      <c r="S48" s="28"/>
      <c r="T48" s="28"/>
    </row>
    <row r="49" spans="1:20" s="370" customFormat="1" ht="12" customHeight="1">
      <c r="A49" s="50"/>
      <c r="B49" s="77"/>
      <c r="C49" s="269"/>
      <c r="D49" s="269"/>
      <c r="E49" s="776" t="s">
        <v>445</v>
      </c>
      <c r="F49" s="777"/>
      <c r="G49" s="777"/>
      <c r="H49" s="777"/>
      <c r="I49" s="777"/>
      <c r="J49" s="777"/>
      <c r="K49" s="778"/>
      <c r="L49" s="28"/>
      <c r="M49" s="776" t="s">
        <v>420</v>
      </c>
      <c r="N49" s="777"/>
      <c r="O49" s="777"/>
      <c r="P49" s="777"/>
      <c r="Q49" s="777"/>
      <c r="R49" s="777"/>
      <c r="S49" s="778"/>
      <c r="T49" s="28"/>
    </row>
    <row r="50" spans="1:20" s="370" customFormat="1" ht="36">
      <c r="A50" s="76"/>
      <c r="B50" s="269"/>
      <c r="C50" s="269"/>
      <c r="D50" s="269"/>
      <c r="E50" s="507" t="s">
        <v>423</v>
      </c>
      <c r="F50" s="4"/>
      <c r="G50" s="507" t="s">
        <v>425</v>
      </c>
      <c r="H50" s="4"/>
      <c r="I50" s="508" t="s">
        <v>424</v>
      </c>
      <c r="J50" s="506"/>
      <c r="K50" s="508" t="s">
        <v>213</v>
      </c>
      <c r="L50" s="556"/>
      <c r="M50" s="507" t="s">
        <v>423</v>
      </c>
      <c r="N50" s="4"/>
      <c r="O50" s="507" t="s">
        <v>425</v>
      </c>
      <c r="P50" s="4"/>
      <c r="Q50" s="508" t="s">
        <v>424</v>
      </c>
      <c r="R50" s="506"/>
      <c r="S50" s="508" t="s">
        <v>213</v>
      </c>
      <c r="T50" s="556"/>
    </row>
    <row r="51" spans="1:20" s="370" customFormat="1">
      <c r="A51" s="76"/>
      <c r="B51" s="269"/>
      <c r="C51" s="269"/>
      <c r="D51" s="269"/>
      <c r="E51" s="786" t="s">
        <v>426</v>
      </c>
      <c r="F51" s="787"/>
      <c r="G51" s="787"/>
      <c r="H51" s="787"/>
      <c r="I51" s="787"/>
      <c r="J51" s="787"/>
      <c r="K51" s="787"/>
      <c r="L51" s="787"/>
      <c r="M51" s="787"/>
      <c r="N51" s="787"/>
      <c r="O51" s="787"/>
      <c r="P51" s="787"/>
      <c r="Q51" s="787"/>
      <c r="R51" s="787"/>
      <c r="S51" s="788"/>
      <c r="T51" s="608"/>
    </row>
    <row r="52" spans="1:20" s="370" customFormat="1" ht="12" customHeight="1">
      <c r="A52" s="76"/>
      <c r="B52" s="269"/>
      <c r="C52" s="269"/>
      <c r="D52" s="269"/>
      <c r="E52" s="608"/>
      <c r="F52" s="608"/>
      <c r="G52" s="608"/>
      <c r="H52" s="608"/>
      <c r="I52" s="608"/>
      <c r="J52" s="608"/>
      <c r="K52" s="608"/>
      <c r="L52" s="608"/>
      <c r="M52" s="608"/>
      <c r="N52" s="608"/>
      <c r="O52" s="608"/>
      <c r="P52" s="608"/>
      <c r="Q52" s="608"/>
      <c r="R52" s="608"/>
      <c r="S52" s="608"/>
      <c r="T52" s="608"/>
    </row>
    <row r="53" spans="1:20" ht="12" customHeight="1">
      <c r="A53" s="76"/>
      <c r="B53" s="46" t="s">
        <v>341</v>
      </c>
      <c r="D53" s="46"/>
      <c r="E53" s="612">
        <v>24</v>
      </c>
      <c r="F53" s="612"/>
      <c r="G53" s="612">
        <v>24</v>
      </c>
      <c r="H53" s="612"/>
      <c r="I53" s="612">
        <v>24</v>
      </c>
      <c r="J53" s="612"/>
      <c r="K53" s="612">
        <v>72</v>
      </c>
      <c r="L53" s="46"/>
      <c r="M53" s="380">
        <v>34</v>
      </c>
      <c r="N53" s="380"/>
      <c r="O53" s="380">
        <v>33</v>
      </c>
      <c r="P53" s="380"/>
      <c r="Q53" s="380">
        <v>33</v>
      </c>
      <c r="R53" s="612"/>
      <c r="S53" s="612">
        <v>100</v>
      </c>
      <c r="T53" s="46"/>
    </row>
    <row r="54" spans="1:20" ht="12" customHeight="1">
      <c r="A54" s="76"/>
      <c r="B54" s="46" t="s">
        <v>347</v>
      </c>
      <c r="D54" s="46"/>
      <c r="E54" s="612">
        <v>192</v>
      </c>
      <c r="F54" s="612"/>
      <c r="G54" s="612">
        <v>150</v>
      </c>
      <c r="H54" s="612"/>
      <c r="I54" s="612">
        <v>156</v>
      </c>
      <c r="J54" s="612"/>
      <c r="K54" s="612">
        <v>498</v>
      </c>
      <c r="L54" s="46"/>
      <c r="M54" s="380">
        <v>8</v>
      </c>
      <c r="N54" s="380"/>
      <c r="O54" s="380">
        <v>7</v>
      </c>
      <c r="P54" s="380"/>
      <c r="Q54" s="380">
        <v>8</v>
      </c>
      <c r="R54" s="612"/>
      <c r="S54" s="612">
        <v>23</v>
      </c>
      <c r="T54" s="46"/>
    </row>
    <row r="55" spans="1:20" ht="12" customHeight="1">
      <c r="A55" s="76"/>
      <c r="B55" s="46" t="s">
        <v>10</v>
      </c>
      <c r="D55" s="46"/>
      <c r="E55" s="612">
        <v>1</v>
      </c>
      <c r="F55" s="612"/>
      <c r="G55" s="612">
        <v>2</v>
      </c>
      <c r="H55" s="612"/>
      <c r="I55" s="612">
        <v>1</v>
      </c>
      <c r="J55" s="612"/>
      <c r="K55" s="612">
        <v>4</v>
      </c>
      <c r="L55" s="46"/>
      <c r="M55" s="380">
        <v>1</v>
      </c>
      <c r="N55" s="380"/>
      <c r="O55" s="380">
        <v>2</v>
      </c>
      <c r="P55" s="380"/>
      <c r="Q55" s="380">
        <v>1</v>
      </c>
      <c r="R55" s="612"/>
      <c r="S55" s="612">
        <v>4</v>
      </c>
      <c r="T55" s="46"/>
    </row>
    <row r="56" spans="1:20" ht="12" customHeight="1">
      <c r="A56" s="76"/>
      <c r="B56" s="46" t="s">
        <v>342</v>
      </c>
      <c r="D56" s="46"/>
      <c r="E56" s="612">
        <v>23</v>
      </c>
      <c r="F56" s="612"/>
      <c r="G56" s="612">
        <v>7</v>
      </c>
      <c r="H56" s="612"/>
      <c r="I56" s="612">
        <v>0</v>
      </c>
      <c r="J56" s="612"/>
      <c r="K56" s="612">
        <v>30</v>
      </c>
      <c r="L56" s="46"/>
      <c r="M56" s="380">
        <v>0</v>
      </c>
      <c r="N56" s="380"/>
      <c r="O56" s="380">
        <v>0</v>
      </c>
      <c r="P56" s="380"/>
      <c r="Q56" s="380">
        <v>0</v>
      </c>
      <c r="R56" s="612"/>
      <c r="S56" s="612">
        <v>0</v>
      </c>
      <c r="T56" s="46"/>
    </row>
    <row r="57" spans="1:20" s="370" customFormat="1">
      <c r="A57" s="76"/>
      <c r="B57" s="46" t="s">
        <v>380</v>
      </c>
      <c r="D57" s="46"/>
      <c r="E57" s="612">
        <v>108.051</v>
      </c>
      <c r="F57" s="612"/>
      <c r="G57" s="612">
        <v>0</v>
      </c>
      <c r="H57" s="612"/>
      <c r="I57" s="612">
        <v>0</v>
      </c>
      <c r="J57" s="612"/>
      <c r="K57" s="612">
        <v>108.051</v>
      </c>
      <c r="L57" s="46"/>
      <c r="M57" s="380">
        <v>0</v>
      </c>
      <c r="N57" s="380"/>
      <c r="O57" s="380">
        <v>0</v>
      </c>
      <c r="P57" s="380"/>
      <c r="Q57" s="380">
        <v>0</v>
      </c>
      <c r="R57" s="612"/>
      <c r="S57" s="612">
        <v>0</v>
      </c>
      <c r="T57" s="46"/>
    </row>
    <row r="58" spans="1:20" s="370" customFormat="1" ht="12" customHeight="1">
      <c r="A58" s="76"/>
      <c r="B58" s="46" t="s">
        <v>22</v>
      </c>
      <c r="D58" s="46"/>
      <c r="E58" s="612">
        <v>42</v>
      </c>
      <c r="F58" s="612"/>
      <c r="G58" s="612">
        <v>15</v>
      </c>
      <c r="H58" s="612"/>
      <c r="I58" s="612">
        <v>16</v>
      </c>
      <c r="J58" s="612"/>
      <c r="K58" s="612">
        <v>73</v>
      </c>
      <c r="L58" s="46"/>
      <c r="M58" s="380">
        <v>0</v>
      </c>
      <c r="N58" s="380"/>
      <c r="O58" s="380">
        <v>0</v>
      </c>
      <c r="P58" s="380"/>
      <c r="Q58" s="380">
        <v>0</v>
      </c>
      <c r="R58" s="612"/>
      <c r="S58" s="612">
        <v>0</v>
      </c>
      <c r="T58" s="46"/>
    </row>
    <row r="59" spans="1:20" ht="12" customHeight="1" thickBot="1">
      <c r="A59" s="76"/>
      <c r="B59" s="46"/>
      <c r="C59" s="46"/>
      <c r="D59" s="46"/>
      <c r="E59" s="613">
        <v>389</v>
      </c>
      <c r="F59" s="614"/>
      <c r="G59" s="613">
        <v>198</v>
      </c>
      <c r="H59" s="614"/>
      <c r="I59" s="613">
        <v>197</v>
      </c>
      <c r="J59" s="614"/>
      <c r="K59" s="613">
        <v>784.05100000000004</v>
      </c>
      <c r="L59" s="46"/>
      <c r="M59" s="613">
        <v>43</v>
      </c>
      <c r="N59" s="614"/>
      <c r="O59" s="613">
        <v>42</v>
      </c>
      <c r="P59" s="614"/>
      <c r="Q59" s="613">
        <v>42</v>
      </c>
      <c r="R59" s="614"/>
      <c r="S59" s="613">
        <v>127</v>
      </c>
      <c r="T59" s="46"/>
    </row>
    <row r="60" spans="1:20" ht="12.75" thickTop="1"/>
  </sheetData>
  <customSheetViews>
    <customSheetView guid="{84FBBE83-FF6F-4C76-A58E-D04643F715A5}" showPageBreaks="1" printArea="1" hiddenRows="1" view="pageBreakPreview" topLeftCell="A46">
      <selection activeCell="K26" sqref="K26"/>
      <pageMargins left="0.75" right="0.5" top="0.5" bottom="0.25" header="0.17" footer="0.42"/>
      <printOptions horizontalCentered="1"/>
      <pageSetup paperSize="9" fitToWidth="12" fitToHeight="12" orientation="portrait" r:id="rId1"/>
      <headerFooter alignWithMargins="0">
        <oddFooter>&amp;C8 of 11</oddFooter>
      </headerFooter>
    </customSheetView>
  </customSheetViews>
  <mergeCells count="15">
    <mergeCell ref="E1:K1"/>
    <mergeCell ref="M1:S1"/>
    <mergeCell ref="E3:S3"/>
    <mergeCell ref="E51:S51"/>
    <mergeCell ref="B28:S29"/>
    <mergeCell ref="B31:S32"/>
    <mergeCell ref="E49:K49"/>
    <mergeCell ref="E16:K16"/>
    <mergeCell ref="M16:S16"/>
    <mergeCell ref="E18:S18"/>
    <mergeCell ref="M49:S49"/>
    <mergeCell ref="B44:S45"/>
    <mergeCell ref="E38:S38"/>
    <mergeCell ref="E36:K36"/>
    <mergeCell ref="M36:S36"/>
  </mergeCells>
  <phoneticPr fontId="6" type="noConversion"/>
  <printOptions horizontalCentered="1"/>
  <pageMargins left="0.75" right="0.5" top="0.5" bottom="0.25" header="0.17" footer="0.42"/>
  <pageSetup paperSize="9" scale="78" fitToWidth="12" fitToHeight="12" orientation="portrait" r:id="rId2"/>
  <headerFooter alignWithMargins="0">
    <oddFooter>&amp;C8 of 9</oddFooter>
  </headerFooter>
</worksheet>
</file>

<file path=xl/worksheets/sheet19.xml><?xml version="1.0" encoding="utf-8"?>
<worksheet xmlns="http://schemas.openxmlformats.org/spreadsheetml/2006/main" xmlns:r="http://schemas.openxmlformats.org/officeDocument/2006/relationships">
  <dimension ref="A1:T113"/>
  <sheetViews>
    <sheetView tabSelected="1" view="pageBreakPreview" topLeftCell="A92" zoomScaleSheetLayoutView="100" workbookViewId="0">
      <selection activeCell="B103" sqref="B103"/>
    </sheetView>
  </sheetViews>
  <sheetFormatPr defaultRowHeight="12"/>
  <cols>
    <col min="1" max="1" width="5.125" style="161" customWidth="1"/>
    <col min="2" max="2" width="3.625" style="371" customWidth="1"/>
    <col min="3" max="3" width="37.875" style="371" customWidth="1"/>
    <col min="4" max="4" width="0.875" style="371" customWidth="1"/>
    <col min="5" max="5" width="9.375" style="371" customWidth="1"/>
    <col min="6" max="6" width="0.5" style="371" customWidth="1"/>
    <col min="7" max="7" width="9.375" style="371" customWidth="1"/>
    <col min="8" max="8" width="0.5" style="371" customWidth="1"/>
    <col min="9" max="9" width="9.375" style="371" customWidth="1"/>
    <col min="10" max="10" width="0.5" style="371" customWidth="1"/>
    <col min="11" max="11" width="9.375" style="371" customWidth="1"/>
    <col min="12" max="12" width="0.5" style="371" customWidth="1"/>
    <col min="13" max="13" width="9.375" style="375" customWidth="1"/>
    <col min="14" max="14" width="0.5" style="371" customWidth="1"/>
    <col min="15" max="15" width="9.375" style="375" customWidth="1"/>
    <col min="16" max="16" width="0.5" style="371" customWidth="1"/>
    <col min="17" max="17" width="9.375" style="375" customWidth="1"/>
    <col min="18" max="18" width="0.5" style="371" customWidth="1"/>
    <col min="19" max="19" width="9.375" style="371" customWidth="1"/>
    <col min="20" max="20" width="0.5" style="371" customWidth="1"/>
    <col min="21" max="16384" width="9" style="371"/>
  </cols>
  <sheetData>
    <row r="1" spans="1:20" ht="16.5" customHeight="1">
      <c r="A1" s="384">
        <v>10</v>
      </c>
      <c r="B1" s="65" t="s">
        <v>480</v>
      </c>
    </row>
    <row r="2" spans="1:20" ht="6" customHeight="1"/>
    <row r="3" spans="1:20">
      <c r="B3" s="371" t="s">
        <v>481</v>
      </c>
    </row>
    <row r="5" spans="1:20" s="370" customFormat="1" ht="12" customHeight="1">
      <c r="A5" s="384">
        <v>11</v>
      </c>
      <c r="B5" s="367" t="s">
        <v>77</v>
      </c>
      <c r="C5" s="64"/>
      <c r="D5" s="64"/>
      <c r="E5" s="64"/>
      <c r="F5" s="64"/>
      <c r="G5" s="64"/>
      <c r="H5" s="64"/>
      <c r="I5" s="64"/>
      <c r="J5" s="64"/>
      <c r="K5" s="64"/>
      <c r="L5" s="64"/>
      <c r="M5" s="64"/>
      <c r="N5" s="64"/>
      <c r="O5" s="64"/>
      <c r="P5" s="64"/>
      <c r="Q5" s="277"/>
      <c r="R5" s="277"/>
      <c r="S5" s="277"/>
      <c r="T5" s="277"/>
    </row>
    <row r="6" spans="1:20" s="404" customFormat="1">
      <c r="A6" s="76"/>
      <c r="B6" s="533"/>
      <c r="C6" s="533"/>
      <c r="D6" s="533"/>
      <c r="E6" s="776" t="s">
        <v>482</v>
      </c>
      <c r="F6" s="777"/>
      <c r="G6" s="777"/>
      <c r="H6" s="777"/>
      <c r="I6" s="777"/>
      <c r="J6" s="777"/>
      <c r="K6" s="778"/>
      <c r="L6" s="28"/>
      <c r="M6" s="776" t="s">
        <v>420</v>
      </c>
      <c r="N6" s="777"/>
      <c r="O6" s="777"/>
      <c r="P6" s="777"/>
      <c r="Q6" s="777"/>
      <c r="R6" s="777"/>
      <c r="S6" s="778"/>
      <c r="T6" s="28"/>
    </row>
    <row r="7" spans="1:20" s="404" customFormat="1" ht="36">
      <c r="C7" s="533"/>
      <c r="D7" s="533"/>
      <c r="E7" s="610" t="s">
        <v>423</v>
      </c>
      <c r="F7" s="4"/>
      <c r="G7" s="610" t="s">
        <v>425</v>
      </c>
      <c r="H7" s="4"/>
      <c r="I7" s="611" t="s">
        <v>424</v>
      </c>
      <c r="J7" s="506"/>
      <c r="K7" s="611" t="s">
        <v>213</v>
      </c>
      <c r="L7" s="556"/>
      <c r="M7" s="610" t="s">
        <v>423</v>
      </c>
      <c r="N7" s="4"/>
      <c r="O7" s="610" t="s">
        <v>425</v>
      </c>
      <c r="P7" s="4"/>
      <c r="Q7" s="611" t="s">
        <v>424</v>
      </c>
      <c r="R7" s="506"/>
      <c r="S7" s="611" t="s">
        <v>213</v>
      </c>
      <c r="T7" s="556"/>
    </row>
    <row r="8" spans="1:20" s="404" customFormat="1" ht="11.25" customHeight="1">
      <c r="A8" s="76"/>
      <c r="B8" s="533"/>
      <c r="C8" s="533"/>
      <c r="D8" s="533"/>
      <c r="E8" s="812"/>
      <c r="F8" s="812"/>
      <c r="G8" s="812"/>
      <c r="H8" s="812"/>
      <c r="I8" s="812"/>
      <c r="J8" s="812"/>
      <c r="K8" s="812"/>
      <c r="L8" s="812"/>
      <c r="M8" s="812"/>
      <c r="N8" s="812"/>
      <c r="O8" s="812"/>
      <c r="P8" s="812"/>
      <c r="Q8" s="812"/>
      <c r="R8" s="812"/>
      <c r="S8" s="812"/>
      <c r="T8" s="627"/>
    </row>
    <row r="9" spans="1:20" s="404" customFormat="1">
      <c r="A9" s="76"/>
      <c r="B9" s="533"/>
      <c r="C9" s="533"/>
      <c r="D9" s="533"/>
      <c r="E9" s="533"/>
      <c r="F9" s="533"/>
      <c r="G9" s="533"/>
      <c r="H9" s="533"/>
      <c r="I9" s="533"/>
      <c r="J9" s="533"/>
      <c r="K9" s="533"/>
      <c r="L9" s="533"/>
      <c r="M9" s="373"/>
      <c r="N9" s="533"/>
      <c r="O9" s="373"/>
      <c r="P9" s="533"/>
      <c r="Q9" s="373"/>
      <c r="R9" s="533"/>
      <c r="S9" s="533"/>
      <c r="T9" s="533"/>
    </row>
    <row r="10" spans="1:20" s="404" customFormat="1" ht="12" customHeight="1">
      <c r="A10" s="76"/>
      <c r="B10" s="565" t="s">
        <v>0</v>
      </c>
      <c r="C10" s="565"/>
      <c r="D10" s="565"/>
      <c r="E10" s="646">
        <v>10086979</v>
      </c>
      <c r="F10" s="646"/>
      <c r="G10" s="647">
        <v>7571026</v>
      </c>
      <c r="H10" s="647">
        <v>-249999.99976000001</v>
      </c>
      <c r="I10" s="647">
        <v>7853950</v>
      </c>
      <c r="J10" s="563"/>
      <c r="K10" s="647">
        <v>25511955</v>
      </c>
      <c r="M10" s="642">
        <v>0</v>
      </c>
      <c r="N10" s="643"/>
      <c r="O10" s="642">
        <v>0</v>
      </c>
      <c r="P10" s="644"/>
      <c r="Q10" s="642">
        <v>0</v>
      </c>
      <c r="R10" s="118"/>
      <c r="S10" s="566">
        <v>0</v>
      </c>
      <c r="T10" s="118"/>
    </row>
    <row r="11" spans="1:20" s="404" customFormat="1" ht="12" customHeight="1">
      <c r="A11" s="76"/>
      <c r="B11" s="565"/>
      <c r="C11" s="565"/>
      <c r="D11" s="565"/>
      <c r="E11" s="646"/>
      <c r="F11" s="646"/>
      <c r="G11" s="647"/>
      <c r="H11" s="647"/>
      <c r="I11" s="647"/>
      <c r="J11" s="563"/>
      <c r="K11" s="647"/>
      <c r="R11" s="118"/>
      <c r="S11" s="566"/>
      <c r="T11" s="118"/>
    </row>
    <row r="12" spans="1:20" s="404" customFormat="1" ht="12" customHeight="1">
      <c r="A12" s="76"/>
      <c r="B12" s="565" t="s">
        <v>343</v>
      </c>
      <c r="C12" s="565"/>
      <c r="D12" s="565"/>
      <c r="E12" s="646">
        <v>933764</v>
      </c>
      <c r="F12" s="646"/>
      <c r="G12" s="646">
        <v>339705</v>
      </c>
      <c r="H12" s="647"/>
      <c r="I12" s="646">
        <v>586382</v>
      </c>
      <c r="J12" s="563"/>
      <c r="K12" s="647">
        <v>1859851</v>
      </c>
      <c r="M12" s="642">
        <v>7500000</v>
      </c>
      <c r="N12" s="643"/>
      <c r="O12" s="642">
        <v>7500000</v>
      </c>
      <c r="P12" s="644"/>
      <c r="Q12" s="642">
        <v>7500000</v>
      </c>
      <c r="R12" s="118"/>
      <c r="S12" s="566">
        <v>22500000</v>
      </c>
      <c r="T12" s="118"/>
    </row>
    <row r="13" spans="1:20" s="404" customFormat="1" ht="12" customHeight="1">
      <c r="A13" s="76"/>
      <c r="B13" s="565"/>
      <c r="C13" s="565"/>
      <c r="D13" s="565"/>
      <c r="E13" s="646"/>
      <c r="F13" s="646"/>
      <c r="G13" s="646"/>
      <c r="H13" s="647"/>
      <c r="I13" s="646"/>
      <c r="J13" s="563"/>
      <c r="K13" s="647"/>
      <c r="R13" s="118"/>
      <c r="S13" s="566"/>
      <c r="T13" s="118"/>
    </row>
    <row r="14" spans="1:20" s="404" customFormat="1" ht="12" customHeight="1">
      <c r="A14" s="76"/>
      <c r="B14" s="565" t="s">
        <v>412</v>
      </c>
      <c r="C14" s="565"/>
      <c r="D14" s="565"/>
      <c r="E14" s="646">
        <v>-150042</v>
      </c>
      <c r="F14" s="646"/>
      <c r="G14" s="646">
        <v>-3313</v>
      </c>
      <c r="H14" s="647"/>
      <c r="I14" s="646">
        <v>-149549.85490000001</v>
      </c>
      <c r="J14" s="563"/>
      <c r="K14" s="647">
        <v>-302904.85490000003</v>
      </c>
      <c r="M14" s="645">
        <v>2586979</v>
      </c>
      <c r="N14" s="644"/>
      <c r="O14" s="645">
        <v>71026</v>
      </c>
      <c r="P14" s="645"/>
      <c r="Q14" s="645">
        <v>353950</v>
      </c>
      <c r="R14" s="118"/>
      <c r="S14" s="566">
        <v>3011955</v>
      </c>
      <c r="T14" s="118"/>
    </row>
    <row r="15" spans="1:20" s="404" customFormat="1" ht="12" customHeight="1">
      <c r="A15" s="76"/>
      <c r="B15" s="565"/>
      <c r="C15" s="565"/>
      <c r="D15" s="565"/>
      <c r="E15" s="646"/>
      <c r="F15" s="646"/>
      <c r="G15" s="646"/>
      <c r="H15" s="647"/>
      <c r="I15" s="646"/>
      <c r="J15" s="563"/>
      <c r="K15" s="647"/>
      <c r="M15" s="645"/>
      <c r="N15" s="644"/>
      <c r="O15" s="645"/>
      <c r="P15" s="645"/>
      <c r="Q15" s="645"/>
      <c r="R15" s="118"/>
      <c r="S15" s="566"/>
      <c r="T15" s="118"/>
    </row>
    <row r="16" spans="1:20" s="404" customFormat="1" ht="12.75" thickBot="1">
      <c r="A16" s="76"/>
      <c r="B16" s="567"/>
      <c r="C16" s="567"/>
      <c r="D16" s="567"/>
      <c r="E16" s="648">
        <v>10870701</v>
      </c>
      <c r="F16" s="649"/>
      <c r="G16" s="648">
        <v>7907418</v>
      </c>
      <c r="H16" s="650"/>
      <c r="I16" s="648">
        <v>8290782.1451000003</v>
      </c>
      <c r="J16" s="561"/>
      <c r="K16" s="648">
        <v>27068901.145100001</v>
      </c>
      <c r="M16" s="568">
        <v>10086979</v>
      </c>
      <c r="O16" s="568">
        <v>7571026</v>
      </c>
      <c r="Q16" s="568">
        <v>7853950</v>
      </c>
      <c r="R16" s="533"/>
      <c r="S16" s="568">
        <v>25511955</v>
      </c>
      <c r="T16" s="533"/>
    </row>
    <row r="17" spans="1:20" ht="8.25" customHeight="1" thickTop="1">
      <c r="E17" s="375"/>
      <c r="G17" s="375"/>
      <c r="I17" s="375"/>
      <c r="K17" s="375"/>
    </row>
    <row r="18" spans="1:20" ht="15.75" customHeight="1">
      <c r="A18" s="384">
        <v>12</v>
      </c>
      <c r="B18" s="367" t="s">
        <v>484</v>
      </c>
      <c r="C18" s="64"/>
      <c r="D18" s="64"/>
      <c r="E18" s="64"/>
      <c r="F18" s="64"/>
      <c r="G18" s="64"/>
      <c r="H18" s="64"/>
      <c r="I18" s="64"/>
      <c r="J18" s="64"/>
      <c r="K18" s="64"/>
      <c r="L18" s="64"/>
      <c r="M18" s="64"/>
      <c r="N18" s="64"/>
      <c r="O18" s="64"/>
      <c r="P18" s="64"/>
      <c r="Q18" s="277"/>
      <c r="R18" s="277"/>
      <c r="S18" s="277"/>
      <c r="T18" s="277"/>
    </row>
    <row r="19" spans="1:20">
      <c r="A19" s="76"/>
      <c r="B19" s="533"/>
      <c r="C19" s="533"/>
      <c r="D19" s="533"/>
      <c r="E19" s="776" t="s">
        <v>483</v>
      </c>
      <c r="F19" s="777"/>
      <c r="G19" s="777"/>
      <c r="H19" s="777"/>
      <c r="I19" s="777"/>
      <c r="J19" s="777"/>
      <c r="K19" s="778"/>
      <c r="L19" s="28"/>
      <c r="M19" s="776" t="s">
        <v>435</v>
      </c>
      <c r="N19" s="777"/>
      <c r="O19" s="777"/>
      <c r="P19" s="777"/>
      <c r="Q19" s="777"/>
      <c r="R19" s="777"/>
      <c r="S19" s="778"/>
      <c r="T19" s="625"/>
    </row>
    <row r="20" spans="1:20" ht="36">
      <c r="A20" s="404"/>
      <c r="B20" s="404"/>
      <c r="C20" s="533"/>
      <c r="D20" s="533"/>
      <c r="E20" s="610" t="s">
        <v>423</v>
      </c>
      <c r="F20" s="4"/>
      <c r="G20" s="610" t="s">
        <v>425</v>
      </c>
      <c r="H20" s="4"/>
      <c r="I20" s="611" t="s">
        <v>424</v>
      </c>
      <c r="J20" s="506"/>
      <c r="K20" s="611" t="s">
        <v>213</v>
      </c>
      <c r="L20" s="556"/>
      <c r="M20" s="610" t="s">
        <v>423</v>
      </c>
      <c r="N20" s="4"/>
      <c r="O20" s="610" t="s">
        <v>425</v>
      </c>
      <c r="P20" s="4"/>
      <c r="Q20" s="611" t="s">
        <v>424</v>
      </c>
      <c r="R20" s="506"/>
      <c r="S20" s="611" t="s">
        <v>213</v>
      </c>
      <c r="T20" s="506"/>
    </row>
    <row r="21" spans="1:20">
      <c r="E21" s="786" t="s">
        <v>426</v>
      </c>
      <c r="F21" s="787"/>
      <c r="G21" s="787"/>
      <c r="H21" s="787"/>
      <c r="I21" s="787"/>
      <c r="J21" s="787"/>
      <c r="K21" s="787"/>
      <c r="L21" s="787"/>
      <c r="M21" s="787"/>
      <c r="N21" s="787"/>
      <c r="O21" s="787"/>
      <c r="P21" s="787"/>
      <c r="Q21" s="787"/>
      <c r="R21" s="787"/>
      <c r="S21" s="788"/>
    </row>
    <row r="22" spans="1:20">
      <c r="E22" s="651"/>
      <c r="F22" s="651"/>
      <c r="G22" s="651"/>
      <c r="H22" s="651"/>
      <c r="I22" s="651"/>
      <c r="J22" s="651"/>
      <c r="K22" s="651"/>
      <c r="L22" s="651"/>
      <c r="M22" s="651"/>
      <c r="N22" s="651"/>
      <c r="O22" s="651"/>
      <c r="P22" s="651"/>
      <c r="Q22" s="651"/>
      <c r="R22" s="651"/>
      <c r="S22" s="651"/>
    </row>
    <row r="23" spans="1:20" ht="15" customHeight="1">
      <c r="B23" s="371" t="s">
        <v>485</v>
      </c>
      <c r="E23" s="38">
        <v>-4294.5600000000004</v>
      </c>
      <c r="F23" s="38"/>
      <c r="G23" s="38">
        <v>1013.8779999999999</v>
      </c>
      <c r="I23" s="375">
        <v>1346.018</v>
      </c>
      <c r="K23" s="38">
        <v>-1934.6640000000007</v>
      </c>
      <c r="L23" s="38"/>
      <c r="M23" s="38">
        <v>-5055.5600000000004</v>
      </c>
      <c r="N23" s="38"/>
      <c r="O23" s="38">
        <v>502.87799999999993</v>
      </c>
      <c r="Q23" s="375">
        <v>870.01799999999992</v>
      </c>
      <c r="S23" s="38">
        <v>-3682.6640000000007</v>
      </c>
    </row>
    <row r="24" spans="1:20" ht="6" customHeight="1">
      <c r="E24" s="38"/>
      <c r="F24" s="38"/>
      <c r="G24" s="38"/>
      <c r="I24" s="375"/>
      <c r="K24" s="38"/>
      <c r="L24" s="38"/>
      <c r="M24" s="371"/>
      <c r="O24" s="371"/>
      <c r="Q24" s="371"/>
    </row>
    <row r="25" spans="1:20">
      <c r="E25" s="813" t="s">
        <v>436</v>
      </c>
      <c r="F25" s="814"/>
      <c r="G25" s="814"/>
      <c r="H25" s="814"/>
      <c r="I25" s="814"/>
      <c r="J25" s="814"/>
      <c r="K25" s="814"/>
      <c r="L25" s="814"/>
      <c r="M25" s="814"/>
      <c r="N25" s="814"/>
      <c r="O25" s="814"/>
      <c r="P25" s="814"/>
      <c r="Q25" s="814"/>
      <c r="R25" s="814"/>
      <c r="S25" s="815"/>
    </row>
    <row r="26" spans="1:20">
      <c r="E26" s="652"/>
      <c r="F26" s="652"/>
      <c r="G26" s="652"/>
      <c r="H26" s="652"/>
      <c r="I26" s="652"/>
      <c r="J26" s="652"/>
      <c r="K26" s="652"/>
      <c r="L26" s="652"/>
      <c r="M26" s="652"/>
      <c r="N26" s="652"/>
      <c r="O26" s="652"/>
      <c r="P26" s="652"/>
      <c r="Q26" s="652"/>
      <c r="R26" s="652"/>
      <c r="S26" s="652"/>
    </row>
    <row r="27" spans="1:20" ht="15" customHeight="1">
      <c r="B27" s="371" t="s">
        <v>344</v>
      </c>
      <c r="E27" s="375">
        <v>10570716.256286193</v>
      </c>
      <c r="G27" s="375">
        <v>7810814.3710559951</v>
      </c>
      <c r="I27" s="375">
        <v>8130393.7413385306</v>
      </c>
      <c r="M27" s="375">
        <v>10807277.207099997</v>
      </c>
      <c r="O27" s="375">
        <v>7896478.0919868136</v>
      </c>
      <c r="Q27" s="375">
        <v>8206307.5754219843</v>
      </c>
    </row>
    <row r="28" spans="1:20" ht="5.25" customHeight="1">
      <c r="E28" s="375"/>
      <c r="G28" s="375"/>
      <c r="I28" s="375"/>
      <c r="M28" s="371"/>
      <c r="O28" s="371"/>
      <c r="Q28" s="371"/>
    </row>
    <row r="29" spans="1:20" ht="15" customHeight="1" thickBot="1">
      <c r="B29" s="371" t="s">
        <v>451</v>
      </c>
      <c r="E29" s="653">
        <v>-0.40626953707570307</v>
      </c>
      <c r="F29" s="65"/>
      <c r="G29" s="653">
        <v>0.12980439066085847</v>
      </c>
      <c r="H29" s="65"/>
      <c r="I29" s="653">
        <v>0.16555385173491011</v>
      </c>
      <c r="M29" s="581">
        <v>-0.46779220178406061</v>
      </c>
      <c r="O29" s="581">
        <v>6.3683834000668016E-2</v>
      </c>
      <c r="Q29" s="581">
        <v>0.10601820514328722</v>
      </c>
    </row>
    <row r="30" spans="1:20" ht="15" hidden="1" customHeight="1" thickTop="1"/>
    <row r="31" spans="1:20" ht="15" hidden="1" customHeight="1">
      <c r="A31" s="384">
        <v>13</v>
      </c>
      <c r="B31" s="367" t="s">
        <v>345</v>
      </c>
      <c r="C31" s="64"/>
    </row>
    <row r="32" spans="1:20" ht="15" hidden="1" customHeight="1">
      <c r="B32" s="371" t="s">
        <v>348</v>
      </c>
    </row>
    <row r="33" spans="1:20" ht="15" hidden="1" customHeight="1">
      <c r="E33" s="818" t="s">
        <v>413</v>
      </c>
      <c r="F33" s="819"/>
      <c r="G33" s="819"/>
      <c r="H33" s="819"/>
      <c r="I33" s="819"/>
      <c r="J33" s="819"/>
      <c r="K33" s="819"/>
      <c r="L33" s="819"/>
      <c r="M33" s="819"/>
      <c r="N33" s="819"/>
      <c r="O33" s="819"/>
      <c r="P33" s="819"/>
      <c r="Q33" s="819"/>
      <c r="R33" s="819"/>
      <c r="S33" s="819"/>
      <c r="T33" s="819"/>
    </row>
    <row r="34" spans="1:20" ht="12.75" hidden="1" thickTop="1">
      <c r="A34" s="371"/>
      <c r="D34" s="64"/>
      <c r="E34" s="811" t="s">
        <v>305</v>
      </c>
      <c r="F34" s="811"/>
      <c r="G34" s="811"/>
      <c r="H34" s="569"/>
      <c r="I34" s="811" t="s">
        <v>306</v>
      </c>
      <c r="J34" s="811"/>
      <c r="K34" s="811"/>
      <c r="L34" s="570"/>
      <c r="M34" s="810" t="s">
        <v>346</v>
      </c>
      <c r="N34" s="810"/>
      <c r="O34" s="810"/>
      <c r="P34" s="570"/>
      <c r="Q34" s="810" t="s">
        <v>213</v>
      </c>
      <c r="R34" s="810"/>
      <c r="S34" s="810"/>
      <c r="T34" s="810"/>
    </row>
    <row r="35" spans="1:20" ht="12.75" hidden="1" thickTop="1">
      <c r="E35" s="504" t="s">
        <v>349</v>
      </c>
      <c r="F35" s="65"/>
      <c r="G35" s="504" t="s">
        <v>350</v>
      </c>
      <c r="H35" s="65"/>
      <c r="I35" s="504" t="s">
        <v>349</v>
      </c>
      <c r="J35" s="65"/>
      <c r="K35" s="504" t="s">
        <v>350</v>
      </c>
      <c r="L35" s="65"/>
      <c r="M35" s="504" t="s">
        <v>349</v>
      </c>
      <c r="N35" s="65"/>
      <c r="O35" s="504" t="s">
        <v>350</v>
      </c>
      <c r="P35" s="65"/>
      <c r="Q35" s="504" t="s">
        <v>349</v>
      </c>
      <c r="R35" s="65"/>
      <c r="S35" s="65"/>
      <c r="T35" s="65"/>
    </row>
    <row r="36" spans="1:20" ht="12.75" hidden="1" thickTop="1"/>
    <row r="37" spans="1:20" ht="12.75" hidden="1" thickTop="1">
      <c r="C37" s="371" t="s">
        <v>301</v>
      </c>
      <c r="E37" s="38">
        <v>0</v>
      </c>
      <c r="F37" s="38"/>
      <c r="G37" s="38">
        <v>9026.5689999999995</v>
      </c>
      <c r="H37" s="38"/>
      <c r="I37" s="38">
        <v>0</v>
      </c>
      <c r="J37" s="38"/>
      <c r="K37" s="38">
        <v>4142.6000000000004</v>
      </c>
      <c r="L37" s="38"/>
      <c r="M37" s="38">
        <v>0</v>
      </c>
      <c r="N37" s="38"/>
      <c r="O37" s="38">
        <v>6036.6</v>
      </c>
      <c r="P37" s="38"/>
      <c r="Q37" s="38">
        <v>0</v>
      </c>
      <c r="R37" s="38"/>
      <c r="S37" s="38"/>
      <c r="T37" s="38"/>
    </row>
    <row r="38" spans="1:20" ht="6" hidden="1" customHeight="1"/>
    <row r="39" spans="1:20" ht="13.5" hidden="1" thickTop="1" thickBot="1">
      <c r="E39" s="580">
        <v>0</v>
      </c>
      <c r="G39" s="580">
        <v>9026.5689999999995</v>
      </c>
      <c r="I39" s="580">
        <v>0</v>
      </c>
      <c r="K39" s="580">
        <v>4142.6000000000004</v>
      </c>
      <c r="M39" s="580">
        <v>0</v>
      </c>
      <c r="O39" s="580">
        <v>6036.6</v>
      </c>
      <c r="Q39" s="580">
        <v>0</v>
      </c>
    </row>
    <row r="40" spans="1:20" ht="12.75" hidden="1" thickTop="1"/>
    <row r="41" spans="1:20" ht="7.5" customHeight="1" thickTop="1"/>
    <row r="42" spans="1:20" ht="17.25" customHeight="1">
      <c r="A42" s="575">
        <v>13</v>
      </c>
      <c r="B42" s="574" t="s">
        <v>12</v>
      </c>
    </row>
    <row r="43" spans="1:20" ht="3" customHeight="1">
      <c r="A43" s="575"/>
      <c r="B43" s="574"/>
    </row>
    <row r="44" spans="1:20" ht="17.25" customHeight="1">
      <c r="A44" s="575"/>
      <c r="B44" s="816" t="s">
        <v>439</v>
      </c>
      <c r="C44" s="817"/>
      <c r="D44" s="817"/>
      <c r="E44" s="817"/>
      <c r="F44" s="817"/>
      <c r="G44" s="817"/>
      <c r="H44" s="817"/>
      <c r="I44" s="817"/>
      <c r="J44" s="817"/>
      <c r="K44" s="817"/>
      <c r="L44" s="817"/>
      <c r="M44" s="817"/>
      <c r="N44" s="817"/>
      <c r="O44" s="817"/>
      <c r="P44" s="817"/>
      <c r="Q44" s="817"/>
      <c r="R44" s="817"/>
      <c r="S44" s="817"/>
    </row>
    <row r="45" spans="1:20" ht="19.5" customHeight="1">
      <c r="A45" s="575"/>
      <c r="B45" s="817"/>
      <c r="C45" s="817"/>
      <c r="D45" s="817"/>
      <c r="E45" s="817"/>
      <c r="F45" s="817"/>
      <c r="G45" s="817"/>
      <c r="H45" s="817"/>
      <c r="I45" s="817"/>
      <c r="J45" s="817"/>
      <c r="K45" s="817"/>
      <c r="L45" s="817"/>
      <c r="M45" s="817"/>
      <c r="N45" s="817"/>
      <c r="O45" s="817"/>
      <c r="P45" s="817"/>
      <c r="Q45" s="817"/>
      <c r="R45" s="817"/>
      <c r="S45" s="817"/>
    </row>
    <row r="46" spans="1:20" ht="4.5" customHeight="1">
      <c r="A46" s="575"/>
      <c r="B46" s="574"/>
    </row>
    <row r="47" spans="1:20">
      <c r="A47" s="575"/>
      <c r="B47" s="77" t="s">
        <v>440</v>
      </c>
    </row>
    <row r="48" spans="1:20" ht="4.5" customHeight="1">
      <c r="A48" s="575"/>
      <c r="B48" s="77"/>
      <c r="C48" s="77"/>
    </row>
    <row r="49" spans="1:20" ht="17.25" customHeight="1">
      <c r="A49" s="575"/>
      <c r="B49" s="816" t="s">
        <v>441</v>
      </c>
      <c r="C49" s="817"/>
      <c r="D49" s="817"/>
      <c r="E49" s="817"/>
      <c r="F49" s="817"/>
      <c r="G49" s="817"/>
      <c r="H49" s="817"/>
      <c r="I49" s="817"/>
      <c r="J49" s="817"/>
      <c r="K49" s="817"/>
      <c r="L49" s="817"/>
      <c r="M49" s="817"/>
      <c r="N49" s="817"/>
      <c r="O49" s="817"/>
      <c r="P49" s="817"/>
      <c r="Q49" s="817"/>
      <c r="R49" s="817"/>
      <c r="S49" s="817"/>
    </row>
    <row r="50" spans="1:20" ht="7.5" customHeight="1">
      <c r="A50" s="575"/>
      <c r="B50" s="817"/>
      <c r="C50" s="817"/>
      <c r="D50" s="817"/>
      <c r="E50" s="817"/>
      <c r="F50" s="817"/>
      <c r="G50" s="817"/>
      <c r="H50" s="817"/>
      <c r="I50" s="817"/>
      <c r="J50" s="817"/>
      <c r="K50" s="817"/>
      <c r="L50" s="817"/>
      <c r="M50" s="817"/>
      <c r="N50" s="817"/>
      <c r="O50" s="817"/>
      <c r="P50" s="817"/>
      <c r="Q50" s="817"/>
      <c r="R50" s="817"/>
      <c r="S50" s="817"/>
    </row>
    <row r="51" spans="1:20" ht="4.5" customHeight="1">
      <c r="A51" s="575"/>
      <c r="B51" s="77"/>
      <c r="C51" s="77"/>
    </row>
    <row r="52" spans="1:20" ht="14.25" customHeight="1">
      <c r="A52" s="575"/>
      <c r="B52" s="77" t="s">
        <v>442</v>
      </c>
      <c r="C52" s="77"/>
    </row>
    <row r="53" spans="1:20" ht="3" customHeight="1">
      <c r="A53" s="571"/>
      <c r="B53" s="77"/>
      <c r="C53" s="269"/>
      <c r="D53" s="269"/>
      <c r="E53" s="269"/>
      <c r="F53" s="269"/>
      <c r="G53" s="269"/>
      <c r="H53" s="269"/>
      <c r="I53" s="269"/>
      <c r="J53" s="269"/>
      <c r="K53" s="269"/>
    </row>
    <row r="54" spans="1:20">
      <c r="E54" s="776" t="s">
        <v>483</v>
      </c>
      <c r="F54" s="777"/>
      <c r="G54" s="777"/>
      <c r="H54" s="777"/>
      <c r="I54" s="777"/>
      <c r="J54" s="777"/>
      <c r="K54" s="778"/>
      <c r="M54" s="776" t="s">
        <v>435</v>
      </c>
      <c r="N54" s="777"/>
      <c r="O54" s="777"/>
      <c r="P54" s="777"/>
      <c r="Q54" s="777"/>
      <c r="R54" s="777"/>
      <c r="S54" s="778"/>
      <c r="T54" s="624"/>
    </row>
    <row r="55" spans="1:20" ht="36">
      <c r="E55" s="463" t="s">
        <v>305</v>
      </c>
      <c r="F55" s="4"/>
      <c r="G55" s="507" t="s">
        <v>306</v>
      </c>
      <c r="H55" s="4"/>
      <c r="I55" s="508" t="s">
        <v>307</v>
      </c>
      <c r="J55" s="506"/>
      <c r="K55" s="476" t="s">
        <v>213</v>
      </c>
      <c r="M55" s="463" t="s">
        <v>305</v>
      </c>
      <c r="N55" s="4"/>
      <c r="O55" s="507" t="s">
        <v>306</v>
      </c>
      <c r="P55" s="4"/>
      <c r="Q55" s="508" t="s">
        <v>307</v>
      </c>
      <c r="R55" s="506"/>
      <c r="S55" s="476" t="s">
        <v>213</v>
      </c>
      <c r="T55" s="506"/>
    </row>
    <row r="56" spans="1:20" ht="12" customHeight="1">
      <c r="A56" s="673">
        <v>13.1</v>
      </c>
      <c r="B56" s="65" t="s">
        <v>112</v>
      </c>
      <c r="E56" s="572" t="s">
        <v>351</v>
      </c>
      <c r="F56" s="572"/>
      <c r="G56" s="37"/>
      <c r="H56" s="37"/>
      <c r="I56" s="37"/>
      <c r="J56" s="37"/>
      <c r="K56" s="37"/>
      <c r="M56" s="572" t="s">
        <v>351</v>
      </c>
      <c r="N56" s="572"/>
      <c r="O56" s="37"/>
      <c r="P56" s="37"/>
      <c r="Q56" s="37"/>
      <c r="R56" s="37"/>
      <c r="S56" s="37"/>
      <c r="T56" s="37"/>
    </row>
    <row r="57" spans="1:20">
      <c r="B57" s="276" t="s">
        <v>352</v>
      </c>
      <c r="E57" s="375"/>
      <c r="G57" s="375"/>
      <c r="I57" s="375"/>
    </row>
    <row r="58" spans="1:20">
      <c r="B58" s="371" t="s">
        <v>79</v>
      </c>
      <c r="E58" s="375">
        <v>1151.404</v>
      </c>
      <c r="G58" s="375">
        <v>892.02300000000002</v>
      </c>
      <c r="I58" s="375">
        <v>927.78200000000004</v>
      </c>
      <c r="K58" s="375">
        <v>2971.2090000000003</v>
      </c>
      <c r="M58" s="375">
        <v>765.404</v>
      </c>
      <c r="O58" s="375">
        <v>600.02300000000002</v>
      </c>
      <c r="Q58" s="375">
        <v>623.78200000000004</v>
      </c>
      <c r="S58" s="375">
        <v>1989.2090000000003</v>
      </c>
    </row>
    <row r="59" spans="1:20" ht="14.25" customHeight="1">
      <c r="B59" s="371" t="s">
        <v>353</v>
      </c>
      <c r="E59" s="375">
        <v>187.001</v>
      </c>
      <c r="G59" s="375">
        <v>144.86500000000001</v>
      </c>
      <c r="I59" s="375">
        <v>150.66800000000001</v>
      </c>
      <c r="K59" s="375">
        <v>482.53399999999999</v>
      </c>
      <c r="M59" s="375">
        <v>124.001</v>
      </c>
      <c r="O59" s="375">
        <v>97.865000000000009</v>
      </c>
      <c r="Q59" s="375">
        <v>101.66800000000001</v>
      </c>
      <c r="S59" s="375">
        <v>323.53399999999999</v>
      </c>
    </row>
    <row r="60" spans="1:20">
      <c r="E60" s="375"/>
      <c r="G60" s="375"/>
      <c r="I60" s="375"/>
    </row>
    <row r="61" spans="1:20">
      <c r="B61" s="65" t="s">
        <v>354</v>
      </c>
      <c r="E61" s="375"/>
      <c r="G61" s="375"/>
      <c r="I61" s="375"/>
    </row>
    <row r="62" spans="1:20">
      <c r="B62" s="371" t="s">
        <v>355</v>
      </c>
      <c r="E62" s="375">
        <v>114.66399999999999</v>
      </c>
      <c r="G62" s="375">
        <v>93.314999999999998</v>
      </c>
      <c r="I62" s="375">
        <v>96.210999999999999</v>
      </c>
      <c r="K62" s="375">
        <v>304.19</v>
      </c>
      <c r="M62" s="375">
        <v>71.663999999999987</v>
      </c>
      <c r="O62" s="375">
        <v>60.314999999999998</v>
      </c>
      <c r="Q62" s="375">
        <v>62.210999999999999</v>
      </c>
      <c r="S62" s="375">
        <v>194.19</v>
      </c>
    </row>
    <row r="63" spans="1:20">
      <c r="B63" s="371" t="s">
        <v>356</v>
      </c>
      <c r="E63" s="375">
        <v>10.106999999999999</v>
      </c>
      <c r="G63" s="375">
        <v>5.0599999999999996</v>
      </c>
      <c r="I63" s="375">
        <v>0</v>
      </c>
      <c r="M63" s="375">
        <v>4.1069999999999993</v>
      </c>
      <c r="O63" s="375">
        <v>3.0599999999999996</v>
      </c>
      <c r="Q63" s="375">
        <v>0</v>
      </c>
    </row>
    <row r="64" spans="1:20" ht="3" customHeight="1">
      <c r="E64" s="375"/>
      <c r="G64" s="375"/>
      <c r="I64" s="375"/>
    </row>
    <row r="65" spans="2:20">
      <c r="B65" s="65" t="s">
        <v>357</v>
      </c>
      <c r="E65" s="786" t="s">
        <v>437</v>
      </c>
      <c r="F65" s="787"/>
      <c r="G65" s="787"/>
      <c r="H65" s="787"/>
      <c r="I65" s="787"/>
      <c r="J65" s="787"/>
      <c r="K65" s="787"/>
      <c r="L65" s="787"/>
      <c r="M65" s="787"/>
      <c r="N65" s="787"/>
      <c r="O65" s="787"/>
      <c r="P65" s="787"/>
      <c r="Q65" s="787"/>
      <c r="R65" s="787"/>
      <c r="S65" s="788"/>
    </row>
    <row r="66" spans="2:20" ht="12.75" thickBot="1">
      <c r="B66" s="371" t="s">
        <v>42</v>
      </c>
      <c r="E66" s="578">
        <v>704327.39309999999</v>
      </c>
      <c r="G66" s="578">
        <v>44554.845099999999</v>
      </c>
      <c r="I66" s="578">
        <v>242008.00140000001</v>
      </c>
      <c r="K66" s="578">
        <v>990890.23959999997</v>
      </c>
      <c r="M66" s="578">
        <v>121124.39309999999</v>
      </c>
      <c r="O66" s="578">
        <v>-0.15490000000136206</v>
      </c>
      <c r="Q66" s="578">
        <v>98232.001400000008</v>
      </c>
      <c r="S66" s="578">
        <v>219356.2396</v>
      </c>
    </row>
    <row r="67" spans="2:20" ht="5.25" customHeight="1" thickTop="1">
      <c r="E67" s="579"/>
      <c r="G67" s="579"/>
      <c r="I67" s="579"/>
      <c r="M67" s="579"/>
      <c r="O67" s="579"/>
      <c r="Q67" s="579"/>
    </row>
    <row r="68" spans="2:20">
      <c r="E68" s="786" t="s">
        <v>438</v>
      </c>
      <c r="F68" s="787"/>
      <c r="G68" s="787"/>
      <c r="H68" s="787"/>
      <c r="I68" s="787"/>
      <c r="J68" s="787"/>
      <c r="K68" s="787"/>
      <c r="L68" s="787"/>
      <c r="M68" s="787"/>
      <c r="N68" s="787"/>
      <c r="O68" s="787"/>
      <c r="P68" s="787"/>
      <c r="Q68" s="787"/>
      <c r="R68" s="787"/>
      <c r="S68" s="788"/>
    </row>
    <row r="69" spans="2:20" ht="12.75" thickBot="1">
      <c r="B69" s="371" t="s">
        <v>378</v>
      </c>
      <c r="E69" s="578">
        <v>6800</v>
      </c>
      <c r="G69" s="578">
        <v>450</v>
      </c>
      <c r="I69" s="578">
        <v>2451.598</v>
      </c>
      <c r="K69" s="578">
        <v>9701.598</v>
      </c>
      <c r="M69" s="578">
        <v>6800</v>
      </c>
      <c r="O69" s="578">
        <v>0</v>
      </c>
      <c r="Q69" s="578">
        <v>999.59799999999996</v>
      </c>
      <c r="S69" s="578">
        <v>7799.598</v>
      </c>
    </row>
    <row r="70" spans="2:20" ht="12.75" thickTop="1">
      <c r="E70" s="579"/>
      <c r="G70" s="579"/>
      <c r="I70" s="579"/>
      <c r="M70" s="579"/>
      <c r="O70" s="579"/>
      <c r="Q70" s="579"/>
    </row>
    <row r="71" spans="2:20">
      <c r="E71" s="786" t="s">
        <v>437</v>
      </c>
      <c r="F71" s="787"/>
      <c r="G71" s="787"/>
      <c r="H71" s="787"/>
      <c r="I71" s="787"/>
      <c r="J71" s="787"/>
      <c r="K71" s="787"/>
      <c r="L71" s="787"/>
      <c r="M71" s="787"/>
      <c r="N71" s="787"/>
      <c r="O71" s="787"/>
      <c r="P71" s="787"/>
      <c r="Q71" s="787"/>
      <c r="R71" s="787"/>
      <c r="S71" s="788"/>
    </row>
    <row r="72" spans="2:20" ht="12.75" thickBot="1">
      <c r="B72" s="371" t="s">
        <v>111</v>
      </c>
      <c r="E72" s="578">
        <v>136306.1347</v>
      </c>
      <c r="G72" s="578">
        <v>0</v>
      </c>
      <c r="I72" s="578">
        <v>0</v>
      </c>
      <c r="K72" s="578">
        <v>136306.1347</v>
      </c>
      <c r="M72" s="578">
        <v>0</v>
      </c>
      <c r="O72" s="578">
        <v>0</v>
      </c>
      <c r="Q72" s="578">
        <v>0</v>
      </c>
      <c r="S72" s="578">
        <v>0</v>
      </c>
    </row>
    <row r="73" spans="2:20" ht="6.75" customHeight="1" thickTop="1">
      <c r="E73" s="579"/>
      <c r="G73" s="579"/>
      <c r="I73" s="579"/>
      <c r="M73" s="579"/>
      <c r="O73" s="579"/>
      <c r="Q73" s="579"/>
    </row>
    <row r="74" spans="2:20">
      <c r="E74" s="786" t="s">
        <v>438</v>
      </c>
      <c r="F74" s="787"/>
      <c r="G74" s="787"/>
      <c r="H74" s="787"/>
      <c r="I74" s="787"/>
      <c r="J74" s="787"/>
      <c r="K74" s="787"/>
      <c r="L74" s="787"/>
      <c r="M74" s="787"/>
      <c r="N74" s="787"/>
      <c r="O74" s="787"/>
      <c r="P74" s="787"/>
      <c r="Q74" s="787"/>
      <c r="R74" s="787"/>
      <c r="S74" s="788"/>
    </row>
    <row r="75" spans="2:20" ht="12.75" thickBot="1">
      <c r="B75" s="371" t="s">
        <v>414</v>
      </c>
      <c r="E75" s="578">
        <v>1351.598</v>
      </c>
      <c r="G75" s="578">
        <v>0</v>
      </c>
      <c r="I75" s="578">
        <v>0</v>
      </c>
      <c r="K75" s="578">
        <v>1351.598</v>
      </c>
      <c r="M75" s="692">
        <v>0</v>
      </c>
      <c r="O75" s="578">
        <v>0</v>
      </c>
      <c r="Q75" s="578">
        <v>0</v>
      </c>
      <c r="S75" s="578">
        <v>0</v>
      </c>
    </row>
    <row r="76" spans="2:20" ht="8.25" customHeight="1" thickTop="1">
      <c r="I76" s="379"/>
      <c r="K76" s="579"/>
      <c r="M76" s="579"/>
      <c r="O76" s="579"/>
      <c r="Q76" s="579"/>
    </row>
    <row r="77" spans="2:20">
      <c r="E77" s="776" t="s">
        <v>445</v>
      </c>
      <c r="F77" s="777"/>
      <c r="G77" s="777"/>
      <c r="H77" s="777"/>
      <c r="I77" s="777"/>
      <c r="J77" s="777"/>
      <c r="K77" s="778"/>
      <c r="L77" s="28"/>
      <c r="M77" s="776" t="s">
        <v>420</v>
      </c>
      <c r="N77" s="777"/>
      <c r="O77" s="777"/>
      <c r="P77" s="777"/>
      <c r="Q77" s="777"/>
      <c r="R77" s="777"/>
      <c r="S77" s="778"/>
    </row>
    <row r="78" spans="2:20" ht="36">
      <c r="E78" s="463" t="s">
        <v>423</v>
      </c>
      <c r="F78" s="4"/>
      <c r="G78" s="463" t="s">
        <v>425</v>
      </c>
      <c r="H78" s="4"/>
      <c r="I78" s="476" t="s">
        <v>424</v>
      </c>
      <c r="J78" s="506"/>
      <c r="K78" s="476" t="s">
        <v>213</v>
      </c>
      <c r="L78" s="556"/>
      <c r="M78" s="463" t="s">
        <v>423</v>
      </c>
      <c r="N78" s="4"/>
      <c r="O78" s="463" t="s">
        <v>425</v>
      </c>
      <c r="P78" s="4"/>
      <c r="Q78" s="476" t="s">
        <v>424</v>
      </c>
      <c r="R78" s="506"/>
      <c r="S78" s="476" t="s">
        <v>213</v>
      </c>
    </row>
    <row r="79" spans="2:20" ht="6.75" customHeight="1">
      <c r="E79" s="506"/>
      <c r="F79" s="4"/>
      <c r="G79" s="506"/>
      <c r="H79" s="4"/>
      <c r="I79" s="556"/>
      <c r="J79" s="506"/>
      <c r="K79" s="556"/>
      <c r="L79" s="556"/>
      <c r="M79" s="506"/>
      <c r="N79" s="4"/>
      <c r="O79" s="506"/>
      <c r="P79" s="4"/>
      <c r="Q79" s="556"/>
      <c r="R79" s="506"/>
      <c r="S79" s="556"/>
      <c r="T79" s="78"/>
    </row>
    <row r="80" spans="2:20">
      <c r="B80" s="65" t="s">
        <v>358</v>
      </c>
      <c r="K80" s="626"/>
      <c r="L80" s="627"/>
      <c r="M80" s="627"/>
      <c r="N80" s="627"/>
      <c r="O80" s="627"/>
      <c r="P80" s="627"/>
      <c r="Q80" s="627"/>
      <c r="R80" s="627"/>
      <c r="S80" s="627"/>
      <c r="T80" s="627"/>
    </row>
    <row r="81" spans="2:19">
      <c r="B81" s="276" t="s">
        <v>352</v>
      </c>
      <c r="E81" s="786" t="s">
        <v>437</v>
      </c>
      <c r="F81" s="787"/>
      <c r="G81" s="787"/>
      <c r="H81" s="787"/>
      <c r="I81" s="787"/>
      <c r="J81" s="787"/>
      <c r="K81" s="787"/>
      <c r="L81" s="787"/>
      <c r="M81" s="787"/>
      <c r="N81" s="787"/>
      <c r="O81" s="787"/>
      <c r="P81" s="787"/>
      <c r="Q81" s="787"/>
      <c r="R81" s="787"/>
      <c r="S81" s="788"/>
    </row>
    <row r="82" spans="2:19" ht="12.75" thickBot="1">
      <c r="B82" s="358" t="s">
        <v>359</v>
      </c>
      <c r="E82" s="654">
        <v>7500000</v>
      </c>
      <c r="F82" s="65"/>
      <c r="G82" s="654">
        <v>7500000</v>
      </c>
      <c r="H82" s="65"/>
      <c r="I82" s="654">
        <v>7500000</v>
      </c>
      <c r="J82" s="65"/>
      <c r="K82" s="654">
        <v>22500000</v>
      </c>
      <c r="M82" s="578">
        <v>7500000</v>
      </c>
      <c r="O82" s="578">
        <v>7500000</v>
      </c>
      <c r="Q82" s="578">
        <v>7500000</v>
      </c>
      <c r="S82" s="578">
        <v>22500000</v>
      </c>
    </row>
    <row r="83" spans="2:19" ht="12.75" thickTop="1">
      <c r="B83" s="358"/>
      <c r="G83" s="375"/>
      <c r="I83" s="375"/>
      <c r="K83" s="375"/>
      <c r="M83" s="371"/>
      <c r="O83" s="371"/>
      <c r="Q83" s="371"/>
    </row>
    <row r="84" spans="2:19">
      <c r="B84" s="358"/>
      <c r="E84" s="786" t="s">
        <v>438</v>
      </c>
      <c r="F84" s="787"/>
      <c r="G84" s="787"/>
      <c r="H84" s="787"/>
      <c r="I84" s="787"/>
      <c r="J84" s="787"/>
      <c r="K84" s="787"/>
      <c r="L84" s="787"/>
      <c r="M84" s="787"/>
      <c r="N84" s="787"/>
      <c r="O84" s="787"/>
      <c r="P84" s="787"/>
      <c r="Q84" s="787"/>
      <c r="R84" s="787"/>
      <c r="S84" s="788"/>
    </row>
    <row r="85" spans="2:19">
      <c r="B85" s="358" t="s">
        <v>374</v>
      </c>
      <c r="E85" s="604">
        <v>73362.79525537345</v>
      </c>
      <c r="F85" s="65"/>
      <c r="G85" s="604">
        <v>76780.115595955576</v>
      </c>
      <c r="H85" s="65"/>
      <c r="I85" s="604">
        <v>76591.389577265349</v>
      </c>
      <c r="J85" s="65"/>
      <c r="K85" s="604">
        <v>226734.3004285944</v>
      </c>
      <c r="M85" s="38">
        <v>75000</v>
      </c>
      <c r="O85" s="38">
        <v>75000</v>
      </c>
      <c r="Q85" s="38">
        <v>75000</v>
      </c>
      <c r="S85" s="38">
        <v>225000</v>
      </c>
    </row>
    <row r="86" spans="2:19">
      <c r="B86" s="371" t="s">
        <v>79</v>
      </c>
      <c r="E86" s="604">
        <v>132.68600000000001</v>
      </c>
      <c r="F86" s="604"/>
      <c r="G86" s="604">
        <v>102.33799999999999</v>
      </c>
      <c r="H86" s="604"/>
      <c r="I86" s="604">
        <v>106.599</v>
      </c>
      <c r="J86" s="604"/>
      <c r="K86" s="604">
        <v>341.62299999999999</v>
      </c>
      <c r="M86" s="38">
        <v>48</v>
      </c>
      <c r="N86" s="38"/>
      <c r="O86" s="38">
        <v>46</v>
      </c>
      <c r="P86" s="38"/>
      <c r="Q86" s="38">
        <v>47</v>
      </c>
      <c r="R86" s="38"/>
      <c r="S86" s="38">
        <v>141</v>
      </c>
    </row>
    <row r="87" spans="2:19">
      <c r="B87" s="371" t="s">
        <v>353</v>
      </c>
      <c r="E87" s="604">
        <v>21.547000000000001</v>
      </c>
      <c r="F87" s="65"/>
      <c r="G87" s="604">
        <v>16.619</v>
      </c>
      <c r="H87" s="65"/>
      <c r="I87" s="604">
        <v>17.311</v>
      </c>
      <c r="J87" s="65"/>
      <c r="K87" s="604">
        <v>55.476999999999997</v>
      </c>
      <c r="M87" s="38">
        <v>8</v>
      </c>
      <c r="O87" s="38">
        <v>8</v>
      </c>
      <c r="Q87" s="38">
        <v>9</v>
      </c>
      <c r="S87" s="38">
        <v>25</v>
      </c>
    </row>
    <row r="88" spans="2:19">
      <c r="B88" s="371" t="s">
        <v>375</v>
      </c>
      <c r="E88" s="604">
        <v>80.832999999999998</v>
      </c>
      <c r="F88" s="65"/>
      <c r="G88" s="604">
        <v>80.832999999999998</v>
      </c>
      <c r="H88" s="65"/>
      <c r="I88" s="604">
        <v>80.832999999999998</v>
      </c>
      <c r="J88" s="65"/>
      <c r="K88" s="604">
        <v>242.499</v>
      </c>
      <c r="M88" s="38">
        <v>81</v>
      </c>
      <c r="O88" s="38">
        <v>81</v>
      </c>
      <c r="Q88" s="38">
        <v>80</v>
      </c>
      <c r="S88" s="38">
        <v>242</v>
      </c>
    </row>
    <row r="89" spans="2:19">
      <c r="B89" s="371" t="s">
        <v>376</v>
      </c>
      <c r="E89" s="604">
        <v>2611.9180000000001</v>
      </c>
      <c r="F89" s="65"/>
      <c r="G89" s="604">
        <v>105</v>
      </c>
      <c r="H89" s="65"/>
      <c r="I89" s="604">
        <v>10</v>
      </c>
      <c r="J89" s="65"/>
      <c r="K89" s="604">
        <v>2726.9180000000001</v>
      </c>
      <c r="M89" s="38">
        <v>2600</v>
      </c>
      <c r="O89" s="38">
        <v>100</v>
      </c>
      <c r="Q89" s="38">
        <v>0</v>
      </c>
      <c r="S89" s="38">
        <v>2700</v>
      </c>
    </row>
    <row r="90" spans="2:19">
      <c r="B90" s="371" t="s">
        <v>377</v>
      </c>
      <c r="E90" s="604">
        <v>25</v>
      </c>
      <c r="F90" s="65"/>
      <c r="G90" s="604">
        <v>25</v>
      </c>
      <c r="H90" s="65"/>
      <c r="I90" s="604">
        <v>20</v>
      </c>
      <c r="J90" s="65"/>
      <c r="K90" s="604">
        <v>70</v>
      </c>
      <c r="M90" s="38">
        <v>25</v>
      </c>
      <c r="O90" s="38">
        <v>25</v>
      </c>
      <c r="Q90" s="38">
        <v>20</v>
      </c>
      <c r="S90" s="38">
        <v>70</v>
      </c>
    </row>
    <row r="91" spans="2:19" ht="6" customHeight="1">
      <c r="E91" s="65"/>
      <c r="F91" s="65"/>
      <c r="G91" s="655"/>
      <c r="H91" s="65"/>
      <c r="I91" s="655"/>
      <c r="J91" s="65"/>
      <c r="K91" s="655"/>
      <c r="M91" s="371"/>
      <c r="S91" s="375"/>
    </row>
    <row r="92" spans="2:19">
      <c r="B92" s="65" t="s">
        <v>354</v>
      </c>
      <c r="E92" s="65"/>
      <c r="F92" s="65"/>
      <c r="G92" s="655"/>
      <c r="H92" s="65"/>
      <c r="I92" s="655"/>
      <c r="J92" s="65"/>
      <c r="K92" s="655"/>
      <c r="M92" s="371"/>
      <c r="S92" s="375"/>
    </row>
    <row r="93" spans="2:19">
      <c r="B93" s="371" t="s">
        <v>360</v>
      </c>
      <c r="E93" s="604">
        <v>15.125999999999999</v>
      </c>
      <c r="F93" s="65"/>
      <c r="G93" s="604">
        <v>11.66</v>
      </c>
      <c r="H93" s="65"/>
      <c r="I93" s="604">
        <v>12.852</v>
      </c>
      <c r="J93" s="65"/>
      <c r="K93" s="604">
        <v>39.638000000000005</v>
      </c>
      <c r="M93" s="38">
        <v>6</v>
      </c>
      <c r="O93" s="38">
        <v>5</v>
      </c>
      <c r="Q93" s="38">
        <v>5</v>
      </c>
      <c r="S93" s="38">
        <v>16</v>
      </c>
    </row>
    <row r="94" spans="2:19" ht="3.75" customHeight="1">
      <c r="G94" s="375"/>
      <c r="I94" s="375"/>
      <c r="K94" s="375"/>
      <c r="M94" s="371"/>
      <c r="O94" s="371"/>
      <c r="Q94" s="371"/>
    </row>
    <row r="95" spans="2:19">
      <c r="B95" s="65" t="s">
        <v>357</v>
      </c>
      <c r="E95" s="786" t="s">
        <v>437</v>
      </c>
      <c r="F95" s="787"/>
      <c r="G95" s="787"/>
      <c r="H95" s="787"/>
      <c r="I95" s="787"/>
      <c r="J95" s="787"/>
      <c r="K95" s="787"/>
      <c r="L95" s="787"/>
      <c r="M95" s="787"/>
      <c r="N95" s="787"/>
      <c r="O95" s="787"/>
      <c r="P95" s="787"/>
      <c r="Q95" s="787"/>
      <c r="R95" s="787"/>
      <c r="S95" s="788"/>
    </row>
    <row r="96" spans="2:19" ht="12.75" thickBot="1">
      <c r="B96" s="371" t="s">
        <v>359</v>
      </c>
      <c r="E96" s="512">
        <v>942884.25839999993</v>
      </c>
      <c r="F96" s="227"/>
      <c r="G96" s="512">
        <v>65539.845100000006</v>
      </c>
      <c r="H96" s="227"/>
      <c r="I96" s="512">
        <v>594779.00139999995</v>
      </c>
      <c r="J96" s="227"/>
      <c r="K96" s="512">
        <v>1603203.1048999999</v>
      </c>
      <c r="M96" s="100">
        <v>374863</v>
      </c>
      <c r="N96" s="78"/>
      <c r="O96" s="100">
        <v>20985</v>
      </c>
      <c r="P96" s="78"/>
      <c r="Q96" s="100">
        <v>352771</v>
      </c>
      <c r="R96" s="78"/>
      <c r="S96" s="100">
        <v>748619</v>
      </c>
    </row>
    <row r="97" spans="1:20" ht="12.75" thickTop="1">
      <c r="E97" s="579"/>
      <c r="G97" s="579"/>
      <c r="I97" s="579"/>
      <c r="K97" s="579"/>
      <c r="M97" s="371"/>
      <c r="O97" s="371"/>
      <c r="Q97" s="371"/>
    </row>
    <row r="98" spans="1:20">
      <c r="E98" s="786" t="s">
        <v>438</v>
      </c>
      <c r="F98" s="787"/>
      <c r="G98" s="787"/>
      <c r="H98" s="787"/>
      <c r="I98" s="787"/>
      <c r="J98" s="787"/>
      <c r="K98" s="787"/>
      <c r="L98" s="787"/>
      <c r="M98" s="787"/>
      <c r="N98" s="787"/>
      <c r="O98" s="787"/>
      <c r="P98" s="787"/>
      <c r="Q98" s="787"/>
      <c r="R98" s="787"/>
      <c r="S98" s="788"/>
      <c r="T98" s="627"/>
    </row>
    <row r="99" spans="1:20" ht="12.75" thickBot="1">
      <c r="B99" s="358" t="s">
        <v>374</v>
      </c>
      <c r="E99" s="654">
        <v>9223.0166398018446</v>
      </c>
      <c r="F99" s="65"/>
      <c r="G99" s="654">
        <v>670.9542510558698</v>
      </c>
      <c r="H99" s="65"/>
      <c r="I99" s="654">
        <v>6073.9933611472334</v>
      </c>
      <c r="J99" s="65"/>
      <c r="K99" s="654">
        <v>15967.964252004947</v>
      </c>
      <c r="M99" s="578">
        <v>3750.0871635600711</v>
      </c>
      <c r="O99" s="578">
        <v>210.07379118761446</v>
      </c>
      <c r="Q99" s="578">
        <v>3531.5054340809402</v>
      </c>
      <c r="S99" s="578">
        <v>7491.6663888286257</v>
      </c>
    </row>
    <row r="100" spans="1:20" ht="35.25" customHeight="1" thickTop="1"/>
    <row r="101" spans="1:20" ht="12" customHeight="1">
      <c r="A101" s="571">
        <v>14</v>
      </c>
      <c r="B101" s="61" t="s">
        <v>89</v>
      </c>
    </row>
    <row r="102" spans="1:20" ht="19.5" customHeight="1">
      <c r="B102" s="77" t="s">
        <v>557</v>
      </c>
      <c r="C102" s="551"/>
      <c r="D102" s="551"/>
      <c r="E102" s="551"/>
      <c r="F102" s="551"/>
      <c r="G102" s="551"/>
      <c r="H102" s="551"/>
      <c r="I102" s="551"/>
      <c r="J102" s="551"/>
      <c r="K102" s="551"/>
    </row>
    <row r="103" spans="1:20">
      <c r="A103" s="571">
        <v>15</v>
      </c>
      <c r="B103" s="57" t="s">
        <v>115</v>
      </c>
    </row>
    <row r="104" spans="1:20">
      <c r="B104" s="402" t="s">
        <v>231</v>
      </c>
    </row>
    <row r="105" spans="1:20" ht="2.25" customHeight="1"/>
    <row r="106" spans="1:20" ht="9.75" customHeight="1"/>
    <row r="107" spans="1:20">
      <c r="A107" s="768" t="s">
        <v>361</v>
      </c>
      <c r="B107" s="768"/>
      <c r="C107" s="768"/>
      <c r="D107" s="768"/>
      <c r="E107" s="768"/>
      <c r="F107" s="768"/>
      <c r="G107" s="768"/>
      <c r="H107" s="768"/>
      <c r="I107" s="768"/>
      <c r="J107" s="768"/>
      <c r="K107" s="768"/>
      <c r="L107" s="768"/>
      <c r="M107" s="768"/>
      <c r="N107" s="768"/>
      <c r="O107" s="768"/>
      <c r="P107" s="768"/>
      <c r="Q107" s="768"/>
      <c r="R107" s="768"/>
      <c r="S107" s="768"/>
      <c r="T107" s="768"/>
    </row>
    <row r="108" spans="1:20">
      <c r="A108" s="768" t="s">
        <v>362</v>
      </c>
      <c r="B108" s="768"/>
      <c r="C108" s="768"/>
      <c r="D108" s="768"/>
      <c r="E108" s="768"/>
      <c r="F108" s="768"/>
      <c r="G108" s="768"/>
      <c r="H108" s="768"/>
      <c r="I108" s="768"/>
      <c r="J108" s="768"/>
      <c r="K108" s="768"/>
      <c r="L108" s="768"/>
      <c r="M108" s="768"/>
      <c r="N108" s="768"/>
      <c r="O108" s="768"/>
      <c r="P108" s="768"/>
      <c r="Q108" s="768"/>
      <c r="R108" s="768"/>
      <c r="S108" s="768"/>
      <c r="T108" s="768"/>
    </row>
    <row r="109" spans="1:20">
      <c r="A109" s="50"/>
      <c r="B109" s="26"/>
      <c r="C109" s="26"/>
      <c r="D109" s="3"/>
      <c r="E109" s="3"/>
      <c r="F109" s="3"/>
      <c r="G109" s="3"/>
      <c r="H109" s="3"/>
      <c r="I109" s="3"/>
      <c r="J109" s="3"/>
      <c r="K109" s="3"/>
    </row>
    <row r="110" spans="1:20">
      <c r="A110" s="50"/>
      <c r="B110" s="26"/>
      <c r="C110" s="26"/>
      <c r="D110" s="3"/>
      <c r="E110" s="3"/>
      <c r="F110" s="3"/>
      <c r="G110" s="3"/>
      <c r="H110" s="3"/>
      <c r="I110" s="3"/>
      <c r="J110" s="3"/>
      <c r="K110" s="603"/>
    </row>
    <row r="111" spans="1:20">
      <c r="A111" s="50"/>
      <c r="B111" s="4"/>
      <c r="C111" s="4"/>
      <c r="D111" s="4"/>
      <c r="E111" s="4"/>
      <c r="F111" s="4"/>
      <c r="G111" s="4"/>
      <c r="H111" s="4"/>
      <c r="I111" s="4"/>
      <c r="J111" s="4"/>
      <c r="K111" s="4"/>
    </row>
    <row r="112" spans="1:20">
      <c r="A112" s="50"/>
      <c r="B112" s="27"/>
      <c r="C112" s="27"/>
      <c r="D112" s="27"/>
      <c r="E112" s="28"/>
      <c r="F112" s="27"/>
      <c r="G112" s="27"/>
      <c r="H112" s="27"/>
      <c r="I112" s="27"/>
      <c r="J112" s="27"/>
      <c r="K112" s="27"/>
    </row>
    <row r="113" spans="1:19">
      <c r="A113" s="768" t="s">
        <v>363</v>
      </c>
      <c r="B113" s="768"/>
      <c r="C113" s="768"/>
      <c r="D113" s="768"/>
      <c r="E113" s="768"/>
      <c r="F113" s="768"/>
      <c r="G113" s="768"/>
      <c r="H113" s="768"/>
      <c r="I113" s="768"/>
      <c r="J113" s="768"/>
      <c r="K113" s="768"/>
      <c r="L113" s="768"/>
      <c r="M113" s="768"/>
      <c r="N113" s="768"/>
      <c r="O113" s="768"/>
      <c r="P113" s="768"/>
      <c r="Q113" s="768"/>
      <c r="R113" s="768"/>
      <c r="S113" s="768"/>
    </row>
  </sheetData>
  <mergeCells count="29">
    <mergeCell ref="E81:S81"/>
    <mergeCell ref="E21:S21"/>
    <mergeCell ref="E25:S25"/>
    <mergeCell ref="E54:K54"/>
    <mergeCell ref="B44:S45"/>
    <mergeCell ref="B49:S50"/>
    <mergeCell ref="E33:T33"/>
    <mergeCell ref="M54:S54"/>
    <mergeCell ref="E19:K19"/>
    <mergeCell ref="M19:S19"/>
    <mergeCell ref="E6:K6"/>
    <mergeCell ref="M6:S6"/>
    <mergeCell ref="E8:S8"/>
    <mergeCell ref="A113:S113"/>
    <mergeCell ref="A107:T107"/>
    <mergeCell ref="A108:T108"/>
    <mergeCell ref="Q34:T34"/>
    <mergeCell ref="M34:O34"/>
    <mergeCell ref="I34:K34"/>
    <mergeCell ref="E34:G34"/>
    <mergeCell ref="E95:S95"/>
    <mergeCell ref="E98:S98"/>
    <mergeCell ref="E65:S65"/>
    <mergeCell ref="E68:S68"/>
    <mergeCell ref="E71:S71"/>
    <mergeCell ref="E74:S74"/>
    <mergeCell ref="E77:K77"/>
    <mergeCell ref="M77:S77"/>
    <mergeCell ref="E84:S84"/>
  </mergeCells>
  <printOptions horizontalCentered="1"/>
  <pageMargins left="0.75" right="0.5" top="0.5" bottom="0.25" header="0.5" footer="0.5"/>
  <pageSetup paperSize="9" scale="64" orientation="portrait" r:id="rId1"/>
  <headerFooter alignWithMargins="0">
    <oddFooter>&amp;C9 of 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PLS</vt:lpstr>
      <vt:lpstr>P&amp;L (2)</vt:lpstr>
      <vt:lpstr>Title IPF </vt:lpstr>
      <vt:lpstr>BS</vt:lpstr>
      <vt:lpstr>P&amp;L</vt:lpstr>
      <vt:lpstr>Qtr - PnL</vt:lpstr>
      <vt:lpstr>Other Comp Income</vt:lpstr>
      <vt:lpstr>Qtr Other Comp Income</vt:lpstr>
      <vt:lpstr>Qtr Distribution</vt:lpstr>
      <vt:lpstr>UHF</vt:lpstr>
      <vt:lpstr>Qtr - UHF</vt:lpstr>
      <vt:lpstr>cash flow</vt:lpstr>
      <vt:lpstr>Qtr -cashflow</vt:lpstr>
      <vt:lpstr>RP Q working</vt:lpstr>
      <vt:lpstr>cash flow working</vt:lpstr>
      <vt:lpstr>1</vt:lpstr>
      <vt:lpstr>P</vt:lpstr>
      <vt:lpstr>2</vt:lpstr>
      <vt:lpstr>3</vt:lpstr>
      <vt:lpstr>'1'!Print_Area</vt:lpstr>
      <vt:lpstr>'2'!Print_Area</vt:lpstr>
      <vt:lpstr>'3'!Print_Area</vt:lpstr>
      <vt:lpstr>BS!Print_Area</vt:lpstr>
      <vt:lpstr>'cash flow'!Print_Area</vt:lpstr>
      <vt:lpstr>'cash flow working'!Print_Area</vt:lpstr>
      <vt:lpstr>'Other Comp Income'!Print_Area</vt:lpstr>
      <vt:lpstr>P!Print_Area</vt:lpstr>
      <vt:lpstr>'P&amp;L'!Print_Area</vt:lpstr>
      <vt:lpstr>'P&amp;L (2)'!Print_Area</vt:lpstr>
      <vt:lpstr>PLS!Print_Area</vt:lpstr>
      <vt:lpstr>'Qtr - PnL'!Print_Area</vt:lpstr>
      <vt:lpstr>'Qtr - UHF'!Print_Area</vt:lpstr>
      <vt:lpstr>'Qtr -cashflow'!Print_Area</vt:lpstr>
      <vt:lpstr>UHF!Print_Area</vt:lpstr>
      <vt:lpstr>'cash flow working'!Print_Titles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TANZEEL ABDUL SATTAR</cp:lastModifiedBy>
  <cp:lastPrinted>2016-04-25T07:03:03Z</cp:lastPrinted>
  <dcterms:created xsi:type="dcterms:W3CDTF">2006-07-06T11:41:36Z</dcterms:created>
  <dcterms:modified xsi:type="dcterms:W3CDTF">2016-04-25T07:06:24Z</dcterms:modified>
</cp:coreProperties>
</file>